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580" yWindow="-108" windowWidth="11448" windowHeight="992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4" i="1" l="1"/>
  <c r="I16" i="1"/>
  <c r="H16" i="1"/>
  <c r="I15" i="1"/>
  <c r="H15" i="1"/>
  <c r="F13" i="1" l="1"/>
  <c r="F20" i="1"/>
  <c r="E20" i="1"/>
  <c r="H11" i="1"/>
  <c r="H9" i="1"/>
  <c r="H8" i="1"/>
  <c r="H7" i="1"/>
  <c r="I7" i="1"/>
  <c r="H22" i="1" l="1"/>
  <c r="H21" i="1" s="1"/>
  <c r="J26" i="1"/>
  <c r="E27" i="1" l="1"/>
  <c r="C27" i="1"/>
  <c r="G26" i="1"/>
  <c r="K25" i="1"/>
  <c r="K24" i="1"/>
  <c r="K23" i="1"/>
  <c r="K22" i="1"/>
  <c r="K21" i="1" s="1"/>
  <c r="I21" i="1"/>
  <c r="I26" i="1" s="1"/>
  <c r="H26" i="1"/>
  <c r="D26" i="1"/>
  <c r="K19" i="1"/>
  <c r="K18" i="1"/>
  <c r="K16" i="1"/>
  <c r="K15" i="1"/>
  <c r="I14" i="1"/>
  <c r="I17" i="1"/>
  <c r="H17" i="1"/>
  <c r="D17" i="1"/>
  <c r="H14" i="1"/>
  <c r="D14" i="1"/>
  <c r="G20" i="1"/>
  <c r="L26" i="1" l="1"/>
  <c r="I20" i="1"/>
  <c r="K17" i="1"/>
  <c r="K14" i="1"/>
  <c r="M21" i="1"/>
  <c r="M26" i="1" s="1"/>
  <c r="K26" i="1"/>
  <c r="H20" i="1"/>
  <c r="M17" i="1"/>
  <c r="D20" i="1"/>
  <c r="M14" i="1"/>
  <c r="J27" i="1"/>
  <c r="H6" i="1"/>
  <c r="I6" i="1"/>
  <c r="I10" i="1"/>
  <c r="H10" i="1"/>
  <c r="K11" i="1"/>
  <c r="K9" i="1"/>
  <c r="K12" i="1"/>
  <c r="G13" i="1" l="1"/>
  <c r="G27" i="1" s="1"/>
  <c r="F27" i="1"/>
  <c r="K20" i="1"/>
  <c r="M20" i="1"/>
  <c r="L20" i="1"/>
  <c r="D27" i="1"/>
  <c r="H13" i="1"/>
  <c r="M13" i="1" s="1"/>
  <c r="K10" i="1"/>
  <c r="I13" i="1"/>
  <c r="I27" i="1" s="1"/>
  <c r="K7" i="1"/>
  <c r="K8" i="1"/>
  <c r="M27" i="1" l="1"/>
  <c r="H27" i="1"/>
  <c r="L27" i="1" s="1"/>
  <c r="K13" i="1"/>
  <c r="K27" i="1" s="1"/>
  <c r="L13" i="1"/>
  <c r="K6" i="1"/>
</calcChain>
</file>

<file path=xl/sharedStrings.xml><?xml version="1.0" encoding="utf-8"?>
<sst xmlns="http://schemas.openxmlformats.org/spreadsheetml/2006/main" count="40" uniqueCount="36">
  <si>
    <t>1. งบสนับสนุนชุมชน</t>
  </si>
  <si>
    <t>ประเภทงบประมาณ</t>
  </si>
  <si>
    <t>อุดหนุน (บ83014)</t>
  </si>
  <si>
    <t>สาธารณูปโภค (บ81114)</t>
  </si>
  <si>
    <t>บริหารจัดการ (บ81714)</t>
  </si>
  <si>
    <t>งบช่วยเหลือฯ (บ84014)</t>
  </si>
  <si>
    <t>งบช่วยเหลือแนวเขื่อน (บ84114)</t>
  </si>
  <si>
    <t>2.งบช่วยเหลือและสนับสนุนภาคี</t>
  </si>
  <si>
    <t>รวม</t>
  </si>
  <si>
    <t>ครัวเรือน</t>
  </si>
  <si>
    <t>จำนวนเงิน</t>
  </si>
  <si>
    <t>กรอบงบที่ได้รับจัดสรร</t>
  </si>
  <si>
    <t>การอนุมัติโครงการ</t>
  </si>
  <si>
    <t>อนุมัติ</t>
  </si>
  <si>
    <t>ยกเลิก</t>
  </si>
  <si>
    <t>สุทธิ</t>
  </si>
  <si>
    <t>รับเงินคืน
จากชุมชน</t>
  </si>
  <si>
    <t>การเบิกจ่าย
สะสม</t>
  </si>
  <si>
    <t>คงเหลือสุทธิ</t>
  </si>
  <si>
    <t>ร้อยละ
การเบิกจ่าย</t>
  </si>
  <si>
    <t>จำนวนเงินอนุมัติ
สุทธิ</t>
  </si>
  <si>
    <t>สนับสนุนการพัฒนา (ค86568)</t>
  </si>
  <si>
    <t>ช่วยเหลือผู้ได้รับผลกระทบ (ค86668)</t>
  </si>
  <si>
    <t>2. งบบริหารจัดการ</t>
  </si>
  <si>
    <t>ค่าบริหารจัดการองค์กร</t>
  </si>
  <si>
    <t>ค่าดำเนินงานศปก.ทชค.</t>
  </si>
  <si>
    <t>รวมทั้งสิ้น</t>
  </si>
  <si>
    <t>ปี
งบประมาณ</t>
  </si>
  <si>
    <t xml:space="preserve">รายงานสถานะโครงการพัฒนาที่อยู่อาศัยชุมชนริมคลอง </t>
  </si>
  <si>
    <t>งบประมาณคงเหลือที่สามารถ
อนุมัติได้</t>
  </si>
  <si>
    <t>1. งบสนับสนุนชุมชน (ค86700)</t>
  </si>
  <si>
    <t>ค่าเช่าบ้านเพิ่มเติม</t>
  </si>
  <si>
    <t>ค่าสื่อสารสร้างความเข้าใจ</t>
  </si>
  <si>
    <t>ค่าสนับสนุนกลไกติดตามประเมินผล</t>
  </si>
  <si>
    <t>ค่าบริหารจัดการ (สผ.)</t>
  </si>
  <si>
    <t>ประจำเดือน 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</si>
</sst>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&quot;฿&quot;* #,##0.00_-;\-&quot;฿&quot;* #,##0.00_-;_-&quot;฿&quot;* &quot;-&quot;??_-;_-@_-"/>
    <numFmt numFmtId="166" formatCode="_-* #,##0.00_-;\-* #,##0.00_-;_-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000000"/>
      <name val="Tahoma"/>
      <family val="2"/>
    </font>
    <font>
      <b/>
      <sz val="11"/>
      <color rgb="FF3F3F3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1" fillId="0" borderId="0"/>
    <xf numFmtId="0" fontId="6" fillId="0" borderId="0"/>
    <xf numFmtId="0" fontId="5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34" borderId="1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0" fontId="2" fillId="0" borderId="11" xfId="0" applyFont="1" applyBorder="1" applyAlignment="1">
      <alignment horizontal="left" indent="1"/>
    </xf>
    <xf numFmtId="164" fontId="2" fillId="0" borderId="11" xfId="1" applyNumberFormat="1" applyFont="1" applyBorder="1"/>
    <xf numFmtId="43" fontId="2" fillId="0" borderId="11" xfId="1" applyFont="1" applyBorder="1"/>
    <xf numFmtId="0" fontId="2" fillId="0" borderId="11" xfId="0" applyFont="1" applyBorder="1"/>
    <xf numFmtId="0" fontId="3" fillId="0" borderId="11" xfId="0" applyFont="1" applyBorder="1"/>
    <xf numFmtId="164" fontId="3" fillId="0" borderId="11" xfId="1" applyNumberFormat="1" applyFont="1" applyBorder="1"/>
    <xf numFmtId="43" fontId="3" fillId="0" borderId="11" xfId="1" applyFont="1" applyBorder="1"/>
    <xf numFmtId="43" fontId="4" fillId="0" borderId="11" xfId="1" applyFont="1" applyBorder="1"/>
    <xf numFmtId="0" fontId="2" fillId="0" borderId="11" xfId="0" quotePrefix="1" applyFont="1" applyBorder="1" applyAlignment="1">
      <alignment horizontal="left" indent="1"/>
    </xf>
    <xf numFmtId="164" fontId="3" fillId="34" borderId="11" xfId="1" applyNumberFormat="1" applyFont="1" applyFill="1" applyBorder="1"/>
    <xf numFmtId="43" fontId="3" fillId="34" borderId="11" xfId="1" applyFont="1" applyFill="1" applyBorder="1"/>
    <xf numFmtId="0" fontId="3" fillId="33" borderId="12" xfId="0" applyFont="1" applyFill="1" applyBorder="1" applyAlignment="1">
      <alignment horizontal="center"/>
    </xf>
    <xf numFmtId="164" fontId="4" fillId="33" borderId="11" xfId="1" applyNumberFormat="1" applyFont="1" applyFill="1" applyBorder="1"/>
    <xf numFmtId="43" fontId="4" fillId="33" borderId="11" xfId="1" applyFont="1" applyFill="1" applyBorder="1"/>
    <xf numFmtId="43" fontId="4" fillId="33" borderId="11" xfId="0" applyNumberFormat="1" applyFont="1" applyFill="1" applyBorder="1"/>
    <xf numFmtId="0" fontId="3" fillId="35" borderId="12" xfId="0" applyFont="1" applyFill="1" applyBorder="1" applyAlignment="1">
      <alignment horizontal="center"/>
    </xf>
    <xf numFmtId="164" fontId="4" fillId="35" borderId="11" xfId="1" applyNumberFormat="1" applyFont="1" applyFill="1" applyBorder="1"/>
    <xf numFmtId="43" fontId="4" fillId="35" borderId="11" xfId="1" applyFont="1" applyFill="1" applyBorder="1"/>
    <xf numFmtId="43" fontId="4" fillId="35" borderId="11" xfId="0" applyNumberFormat="1" applyFont="1" applyFill="1" applyBorder="1"/>
    <xf numFmtId="0" fontId="3" fillId="36" borderId="11" xfId="0" applyFont="1" applyFill="1" applyBorder="1" applyAlignment="1">
      <alignment horizontal="center"/>
    </xf>
    <xf numFmtId="164" fontId="4" fillId="36" borderId="11" xfId="1" applyNumberFormat="1" applyFont="1" applyFill="1" applyBorder="1"/>
    <xf numFmtId="43" fontId="4" fillId="36" borderId="11" xfId="1" applyFont="1" applyFill="1" applyBorder="1"/>
    <xf numFmtId="2" fontId="3" fillId="34" borderId="11" xfId="0" applyNumberFormat="1" applyFont="1" applyFill="1" applyBorder="1"/>
    <xf numFmtId="0" fontId="24" fillId="0" borderId="0" xfId="0" applyFont="1" applyBorder="1" applyAlignment="1">
      <alignment horizontal="center"/>
    </xf>
    <xf numFmtId="164" fontId="3" fillId="34" borderId="12" xfId="1" applyNumberFormat="1" applyFont="1" applyFill="1" applyBorder="1" applyAlignment="1">
      <alignment horizontal="center" vertical="center"/>
    </xf>
    <xf numFmtId="164" fontId="3" fillId="34" borderId="13" xfId="1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43" fontId="3" fillId="34" borderId="11" xfId="1" applyFont="1" applyFill="1" applyBorder="1" applyAlignment="1">
      <alignment horizontal="center" vertical="center" wrapText="1"/>
    </xf>
    <xf numFmtId="43" fontId="3" fillId="34" borderId="11" xfId="1" applyFont="1" applyFill="1" applyBorder="1" applyAlignment="1">
      <alignment horizontal="center" vertical="center"/>
    </xf>
    <xf numFmtId="164" fontId="3" fillId="34" borderId="11" xfId="1" applyNumberFormat="1" applyFont="1" applyFill="1" applyBorder="1" applyAlignment="1">
      <alignment horizontal="center" vertical="center"/>
    </xf>
    <xf numFmtId="0" fontId="3" fillId="34" borderId="12" xfId="0" applyFont="1" applyFill="1" applyBorder="1" applyAlignment="1">
      <alignment horizontal="right"/>
    </xf>
    <xf numFmtId="0" fontId="3" fillId="34" borderId="13" xfId="0" applyFont="1" applyFill="1" applyBorder="1" applyAlignment="1">
      <alignment horizontal="right"/>
    </xf>
    <xf numFmtId="0" fontId="3" fillId="36" borderId="14" xfId="0" applyFont="1" applyFill="1" applyBorder="1" applyAlignment="1">
      <alignment horizontal="center" vertical="center"/>
    </xf>
    <xf numFmtId="0" fontId="3" fillId="36" borderId="15" xfId="0" applyFont="1" applyFill="1" applyBorder="1" applyAlignment="1">
      <alignment horizontal="center" vertical="center"/>
    </xf>
    <xf numFmtId="0" fontId="3" fillId="36" borderId="16" xfId="0" applyFont="1" applyFill="1" applyBorder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horizontal="center" vertical="center"/>
    </xf>
    <xf numFmtId="0" fontId="3" fillId="35" borderId="14" xfId="0" applyFont="1" applyFill="1" applyBorder="1" applyAlignment="1">
      <alignment horizontal="center" vertical="center"/>
    </xf>
    <xf numFmtId="0" fontId="3" fillId="35" borderId="15" xfId="0" applyFont="1" applyFill="1" applyBorder="1" applyAlignment="1">
      <alignment horizontal="center" vertical="center"/>
    </xf>
    <xf numFmtId="0" fontId="3" fillId="35" borderId="16" xfId="0" applyFont="1" applyFill="1" applyBorder="1" applyAlignment="1">
      <alignment horizontal="center" vertical="center"/>
    </xf>
    <xf numFmtId="0" fontId="3" fillId="34" borderId="11" xfId="0" applyFont="1" applyFill="1" applyBorder="1" applyAlignment="1">
      <alignment horizontal="center" vertical="center" wrapText="1"/>
    </xf>
    <xf numFmtId="0" fontId="3" fillId="34" borderId="11" xfId="0" applyFont="1" applyFill="1" applyBorder="1" applyAlignment="1">
      <alignment horizontal="center" vertical="center"/>
    </xf>
  </cellXfs>
  <cellStyles count="6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1"/>
    <cellStyle name="Comma 2 2" xfId="32"/>
    <cellStyle name="Comma 2 3" xfId="33"/>
    <cellStyle name="Comma 3" xfId="34"/>
    <cellStyle name="Comma 3 2" xfId="35"/>
    <cellStyle name="Comma 4" xfId="30"/>
    <cellStyle name="Comma 5" xfId="36"/>
    <cellStyle name="Currency 2" xfId="38"/>
    <cellStyle name="Currency 3" xfId="37"/>
    <cellStyle name="Explanatory Text 2" xfId="39"/>
    <cellStyle name="Good 2" xfId="40"/>
    <cellStyle name="Heading 1 2" xfId="41"/>
    <cellStyle name="Heading 2 2" xfId="42"/>
    <cellStyle name="Heading 3 2" xfId="43"/>
    <cellStyle name="Heading 4 2" xfId="44"/>
    <cellStyle name="Input 2" xfId="45"/>
    <cellStyle name="Linked Cell 2" xfId="46"/>
    <cellStyle name="Neutral 2" xfId="47"/>
    <cellStyle name="Normal" xfId="0" builtinId="0"/>
    <cellStyle name="Normal 2" xfId="48"/>
    <cellStyle name="Normal 2 2" xfId="49"/>
    <cellStyle name="Normal 2 3" xfId="50"/>
    <cellStyle name="Normal 3" xfId="51"/>
    <cellStyle name="Normal 3 2" xfId="52"/>
    <cellStyle name="Normal 3 3" xfId="53"/>
    <cellStyle name="Normal 4" xfId="2"/>
    <cellStyle name="Normal 6" xfId="54"/>
    <cellStyle name="Note 2" xfId="55"/>
    <cellStyle name="Output 2" xfId="56"/>
    <cellStyle name="Title 2" xfId="57"/>
    <cellStyle name="Total 2" xfId="58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70" zoomScaleNormal="70" workbookViewId="0">
      <pane xSplit="2" ySplit="5" topLeftCell="C15" activePane="bottomRight" state="frozen"/>
      <selection pane="topRight" activeCell="C1" sqref="C1"/>
      <selection pane="bottomLeft" activeCell="A4" sqref="A4"/>
      <selection pane="bottomRight" activeCell="A29" sqref="A29:XFD35"/>
    </sheetView>
  </sheetViews>
  <sheetFormatPr defaultColWidth="8.88671875" defaultRowHeight="24.6" outlineLevelRow="1"/>
  <cols>
    <col min="1" max="1" width="11.6640625" style="1" customWidth="1"/>
    <col min="2" max="2" width="31.33203125" style="1" customWidth="1"/>
    <col min="3" max="3" width="10.109375" style="3" customWidth="1"/>
    <col min="4" max="4" width="20.33203125" style="2" customWidth="1"/>
    <col min="5" max="7" width="8.6640625" style="3" customWidth="1"/>
    <col min="8" max="8" width="18.5546875" style="2" bestFit="1" customWidth="1"/>
    <col min="9" max="9" width="18.6640625" style="2" customWidth="1"/>
    <col min="10" max="10" width="17.5546875" style="2" customWidth="1"/>
    <col min="11" max="11" width="18.88671875" style="2" customWidth="1"/>
    <col min="12" max="12" width="11.6640625" style="1" customWidth="1"/>
    <col min="13" max="13" width="18.33203125" style="2" customWidth="1"/>
    <col min="14" max="16384" width="8.88671875" style="1"/>
  </cols>
  <sheetData>
    <row r="1" spans="1:13" ht="27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7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4" customFormat="1" ht="18.600000000000001" customHeight="1">
      <c r="A3" s="52" t="s">
        <v>27</v>
      </c>
      <c r="B3" s="53" t="s">
        <v>1</v>
      </c>
      <c r="C3" s="35" t="s">
        <v>11</v>
      </c>
      <c r="D3" s="36"/>
      <c r="E3" s="40" t="s">
        <v>12</v>
      </c>
      <c r="F3" s="40"/>
      <c r="G3" s="40"/>
      <c r="H3" s="40"/>
      <c r="I3" s="38" t="s">
        <v>17</v>
      </c>
      <c r="J3" s="38" t="s">
        <v>16</v>
      </c>
      <c r="K3" s="39" t="s">
        <v>18</v>
      </c>
      <c r="L3" s="52" t="s">
        <v>19</v>
      </c>
      <c r="M3" s="38" t="s">
        <v>29</v>
      </c>
    </row>
    <row r="4" spans="1:13" s="4" customFormat="1">
      <c r="A4" s="53"/>
      <c r="B4" s="53"/>
      <c r="C4" s="40" t="s">
        <v>9</v>
      </c>
      <c r="D4" s="39" t="s">
        <v>10</v>
      </c>
      <c r="E4" s="40" t="s">
        <v>9</v>
      </c>
      <c r="F4" s="40"/>
      <c r="G4" s="40"/>
      <c r="H4" s="38" t="s">
        <v>20</v>
      </c>
      <c r="I4" s="39"/>
      <c r="J4" s="39"/>
      <c r="K4" s="39"/>
      <c r="L4" s="52"/>
      <c r="M4" s="38"/>
    </row>
    <row r="5" spans="1:13" s="4" customFormat="1">
      <c r="A5" s="53"/>
      <c r="B5" s="53"/>
      <c r="C5" s="40"/>
      <c r="D5" s="39"/>
      <c r="E5" s="7" t="s">
        <v>13</v>
      </c>
      <c r="F5" s="7" t="s">
        <v>14</v>
      </c>
      <c r="G5" s="7" t="s">
        <v>15</v>
      </c>
      <c r="H5" s="39"/>
      <c r="I5" s="39"/>
      <c r="J5" s="39"/>
      <c r="K5" s="39"/>
      <c r="L5" s="52"/>
      <c r="M5" s="38"/>
    </row>
    <row r="6" spans="1:13" s="5" customFormat="1">
      <c r="A6" s="46">
        <v>2559</v>
      </c>
      <c r="B6" s="8" t="s">
        <v>0</v>
      </c>
      <c r="C6" s="9"/>
      <c r="D6" s="10"/>
      <c r="E6" s="9"/>
      <c r="F6" s="9"/>
      <c r="G6" s="9"/>
      <c r="H6" s="10">
        <f>SUM(H7:H9)</f>
        <v>79391500</v>
      </c>
      <c r="I6" s="10">
        <f t="shared" ref="I6:K6" si="0">SUM(I7:I9)</f>
        <v>95896958</v>
      </c>
      <c r="J6" s="10"/>
      <c r="K6" s="10">
        <f t="shared" si="0"/>
        <v>-16505458</v>
      </c>
      <c r="L6" s="8"/>
      <c r="M6" s="10"/>
    </row>
    <row r="7" spans="1:13" ht="24.6" customHeight="1" outlineLevel="1">
      <c r="A7" s="47"/>
      <c r="B7" s="11" t="s">
        <v>3</v>
      </c>
      <c r="C7" s="12"/>
      <c r="D7" s="13"/>
      <c r="E7" s="12"/>
      <c r="F7" s="12"/>
      <c r="G7" s="12"/>
      <c r="H7" s="13">
        <f>192780000-140231800-1118200</f>
        <v>51430000</v>
      </c>
      <c r="I7" s="13">
        <f>61965908</f>
        <v>61965908</v>
      </c>
      <c r="J7" s="13"/>
      <c r="K7" s="13">
        <f>+H7-I7-J7</f>
        <v>-10535908</v>
      </c>
      <c r="L7" s="14"/>
      <c r="M7" s="13"/>
    </row>
    <row r="8" spans="1:13" ht="24.6" customHeight="1" outlineLevel="1">
      <c r="A8" s="47"/>
      <c r="B8" s="11" t="s">
        <v>2</v>
      </c>
      <c r="C8" s="12"/>
      <c r="D8" s="13"/>
      <c r="E8" s="12"/>
      <c r="F8" s="12"/>
      <c r="G8" s="12"/>
      <c r="H8" s="13">
        <f>96660000-71035000</f>
        <v>25625000</v>
      </c>
      <c r="I8" s="13">
        <v>31585000</v>
      </c>
      <c r="J8" s="13"/>
      <c r="K8" s="13">
        <f>+H8-I8-J8</f>
        <v>-5960000</v>
      </c>
      <c r="L8" s="14"/>
      <c r="M8" s="13"/>
    </row>
    <row r="9" spans="1:13" ht="24.6" customHeight="1" outlineLevel="1">
      <c r="A9" s="47"/>
      <c r="B9" s="11" t="s">
        <v>4</v>
      </c>
      <c r="C9" s="12"/>
      <c r="D9" s="13"/>
      <c r="E9" s="12"/>
      <c r="F9" s="12"/>
      <c r="G9" s="12"/>
      <c r="H9" s="13">
        <f>7627000-5290500</f>
        <v>2336500</v>
      </c>
      <c r="I9" s="13">
        <v>2346050</v>
      </c>
      <c r="J9" s="13"/>
      <c r="K9" s="13">
        <f t="shared" ref="K9:K12" si="1">+H9-I9-J9</f>
        <v>-9550</v>
      </c>
      <c r="L9" s="14"/>
      <c r="M9" s="13"/>
    </row>
    <row r="10" spans="1:13" s="6" customFormat="1">
      <c r="A10" s="47"/>
      <c r="B10" s="15" t="s">
        <v>7</v>
      </c>
      <c r="C10" s="16"/>
      <c r="D10" s="17"/>
      <c r="E10" s="16"/>
      <c r="F10" s="16"/>
      <c r="G10" s="16"/>
      <c r="H10" s="17">
        <f>SUM(H11:H12)</f>
        <v>129344866.96000001</v>
      </c>
      <c r="I10" s="17">
        <f t="shared" ref="I10:K10" si="2">SUM(I11:I12)</f>
        <v>115081513.46000001</v>
      </c>
      <c r="J10" s="17"/>
      <c r="K10" s="17">
        <f t="shared" si="2"/>
        <v>14263353.5</v>
      </c>
      <c r="L10" s="15"/>
      <c r="M10" s="17"/>
    </row>
    <row r="11" spans="1:13" ht="24.6" customHeight="1" outlineLevel="1">
      <c r="A11" s="47"/>
      <c r="B11" s="11" t="s">
        <v>5</v>
      </c>
      <c r="C11" s="12"/>
      <c r="D11" s="13"/>
      <c r="E11" s="12"/>
      <c r="F11" s="12"/>
      <c r="G11" s="12"/>
      <c r="H11" s="13">
        <f>357298850-247586850</f>
        <v>109712000</v>
      </c>
      <c r="I11" s="13">
        <v>104888000</v>
      </c>
      <c r="J11" s="13"/>
      <c r="K11" s="13">
        <f t="shared" si="1"/>
        <v>4824000</v>
      </c>
      <c r="L11" s="14"/>
      <c r="M11" s="13"/>
    </row>
    <row r="12" spans="1:13" ht="24.6" customHeight="1" outlineLevel="1">
      <c r="A12" s="47"/>
      <c r="B12" s="11" t="s">
        <v>6</v>
      </c>
      <c r="C12" s="12"/>
      <c r="D12" s="13"/>
      <c r="E12" s="12"/>
      <c r="F12" s="12"/>
      <c r="G12" s="12"/>
      <c r="H12" s="13">
        <v>19632866.960000001</v>
      </c>
      <c r="I12" s="13">
        <v>10193513.460000001</v>
      </c>
      <c r="J12" s="13"/>
      <c r="K12" s="13">
        <f t="shared" si="1"/>
        <v>9439353.5</v>
      </c>
      <c r="L12" s="14"/>
      <c r="M12" s="13"/>
    </row>
    <row r="13" spans="1:13" s="6" customFormat="1" ht="26.4">
      <c r="A13" s="48"/>
      <c r="B13" s="22" t="s">
        <v>8</v>
      </c>
      <c r="C13" s="23">
        <v>3810</v>
      </c>
      <c r="D13" s="24">
        <v>304800000</v>
      </c>
      <c r="E13" s="23">
        <v>3852</v>
      </c>
      <c r="F13" s="23">
        <f>760+2067</f>
        <v>2827</v>
      </c>
      <c r="G13" s="23">
        <f>+E13-F13</f>
        <v>1025</v>
      </c>
      <c r="H13" s="24">
        <f>+H6+H10</f>
        <v>208736366.96000001</v>
      </c>
      <c r="I13" s="24">
        <f>+I6+I10</f>
        <v>210978471.46000001</v>
      </c>
      <c r="J13" s="24">
        <v>25228331</v>
      </c>
      <c r="K13" s="24">
        <f>+H13-I13+J13</f>
        <v>22986226.5</v>
      </c>
      <c r="L13" s="25">
        <f>(I13-J13)*100/H13</f>
        <v>88.987914834981851</v>
      </c>
      <c r="M13" s="24">
        <f>+D13-H13</f>
        <v>96063633.039999992</v>
      </c>
    </row>
    <row r="14" spans="1:13" s="6" customFormat="1" ht="24" customHeight="1">
      <c r="A14" s="49">
        <v>2560</v>
      </c>
      <c r="B14" s="8" t="s">
        <v>0</v>
      </c>
      <c r="C14" s="16"/>
      <c r="D14" s="17">
        <f>SUM(D15:D16)</f>
        <v>703953600</v>
      </c>
      <c r="E14" s="16"/>
      <c r="F14" s="16"/>
      <c r="G14" s="16"/>
      <c r="H14" s="17">
        <f t="shared" ref="H14:K14" si="3">SUM(H15:H16)</f>
        <v>523771362</v>
      </c>
      <c r="I14" s="17">
        <f t="shared" si="3"/>
        <v>328918979</v>
      </c>
      <c r="J14" s="17"/>
      <c r="K14" s="17">
        <f t="shared" si="3"/>
        <v>194852383</v>
      </c>
      <c r="L14" s="15"/>
      <c r="M14" s="18">
        <f>+D14-H14</f>
        <v>180182238</v>
      </c>
    </row>
    <row r="15" spans="1:13" ht="24" customHeight="1" outlineLevel="1">
      <c r="A15" s="50"/>
      <c r="B15" s="19" t="s">
        <v>21</v>
      </c>
      <c r="C15" s="12"/>
      <c r="D15" s="13">
        <v>338112000</v>
      </c>
      <c r="E15" s="12"/>
      <c r="F15" s="12"/>
      <c r="G15" s="12"/>
      <c r="H15" s="13">
        <f>(164454112-5400000)+(83336000-2420000)</f>
        <v>239970112</v>
      </c>
      <c r="I15" s="13">
        <f>75624501+54120000</f>
        <v>129744501</v>
      </c>
      <c r="J15" s="13"/>
      <c r="K15" s="13">
        <f>+H15-I15+J15</f>
        <v>110225611</v>
      </c>
      <c r="L15" s="14"/>
      <c r="M15" s="13"/>
    </row>
    <row r="16" spans="1:13" ht="24" customHeight="1" outlineLevel="1">
      <c r="A16" s="50"/>
      <c r="B16" s="11" t="s">
        <v>22</v>
      </c>
      <c r="C16" s="12"/>
      <c r="D16" s="13">
        <v>365841600</v>
      </c>
      <c r="E16" s="12"/>
      <c r="F16" s="12"/>
      <c r="G16" s="12"/>
      <c r="H16" s="13">
        <f>(11364000-330000)+(11659750-252500)+(268992000-7632000)</f>
        <v>283801250</v>
      </c>
      <c r="I16" s="13">
        <f>7380000+5080478+186714000</f>
        <v>199174478</v>
      </c>
      <c r="J16" s="13"/>
      <c r="K16" s="13">
        <f>+H16-I16+J16</f>
        <v>84626772</v>
      </c>
      <c r="L16" s="14"/>
      <c r="M16" s="13"/>
    </row>
    <row r="17" spans="1:13" s="6" customFormat="1" ht="24" customHeight="1">
      <c r="A17" s="50"/>
      <c r="B17" s="15" t="s">
        <v>23</v>
      </c>
      <c r="C17" s="16"/>
      <c r="D17" s="17">
        <f>SUM(D18:D19)</f>
        <v>47406400</v>
      </c>
      <c r="E17" s="16"/>
      <c r="F17" s="16"/>
      <c r="G17" s="16"/>
      <c r="H17" s="17">
        <f t="shared" ref="H17:K17" si="4">SUM(H18:H19)</f>
        <v>47406400</v>
      </c>
      <c r="I17" s="17">
        <f t="shared" si="4"/>
        <v>47406400</v>
      </c>
      <c r="J17" s="17"/>
      <c r="K17" s="17">
        <f t="shared" si="4"/>
        <v>0</v>
      </c>
      <c r="L17" s="15"/>
      <c r="M17" s="18">
        <f>+D17-H17</f>
        <v>0</v>
      </c>
    </row>
    <row r="18" spans="1:13" ht="24" customHeight="1" outlineLevel="1">
      <c r="A18" s="50"/>
      <c r="B18" s="11" t="s">
        <v>24</v>
      </c>
      <c r="C18" s="12"/>
      <c r="D18" s="13">
        <v>3756800</v>
      </c>
      <c r="E18" s="12"/>
      <c r="F18" s="12"/>
      <c r="G18" s="12"/>
      <c r="H18" s="13">
        <v>3756800</v>
      </c>
      <c r="I18" s="13">
        <v>3756800</v>
      </c>
      <c r="J18" s="13"/>
      <c r="K18" s="13">
        <f>+H18-I18+J18</f>
        <v>0</v>
      </c>
      <c r="L18" s="14"/>
      <c r="M18" s="13"/>
    </row>
    <row r="19" spans="1:13" ht="24" customHeight="1" outlineLevel="1">
      <c r="A19" s="50"/>
      <c r="B19" s="11" t="s">
        <v>25</v>
      </c>
      <c r="C19" s="12"/>
      <c r="D19" s="13">
        <v>43649600</v>
      </c>
      <c r="E19" s="12"/>
      <c r="F19" s="12"/>
      <c r="G19" s="12"/>
      <c r="H19" s="13">
        <v>43649600</v>
      </c>
      <c r="I19" s="13">
        <v>43649600</v>
      </c>
      <c r="J19" s="13"/>
      <c r="K19" s="13">
        <f>+H19-I19+J19</f>
        <v>0</v>
      </c>
      <c r="L19" s="14"/>
      <c r="M19" s="13"/>
    </row>
    <row r="20" spans="1:13" s="6" customFormat="1" ht="26.4">
      <c r="A20" s="51"/>
      <c r="B20" s="26" t="s">
        <v>8</v>
      </c>
      <c r="C20" s="27">
        <v>4696</v>
      </c>
      <c r="D20" s="28">
        <f>+D17+D14</f>
        <v>751360000</v>
      </c>
      <c r="E20" s="27">
        <f>3558+134</f>
        <v>3692</v>
      </c>
      <c r="F20" s="27">
        <f>34+108</f>
        <v>142</v>
      </c>
      <c r="G20" s="27">
        <f>+E20-F20</f>
        <v>3550</v>
      </c>
      <c r="H20" s="28">
        <f>+H14+H17</f>
        <v>571177762</v>
      </c>
      <c r="I20" s="28">
        <f t="shared" ref="I20" si="5">+I14+I17</f>
        <v>376325379</v>
      </c>
      <c r="J20" s="28">
        <v>15000</v>
      </c>
      <c r="K20" s="28">
        <f>+H20-I20+J20</f>
        <v>194867383</v>
      </c>
      <c r="L20" s="29">
        <f>(I20-J20)*100/H20</f>
        <v>65.883233563284278</v>
      </c>
      <c r="M20" s="28">
        <f>+D20-H20</f>
        <v>180182238</v>
      </c>
    </row>
    <row r="21" spans="1:13" ht="24" customHeight="1">
      <c r="A21" s="43">
        <v>2561</v>
      </c>
      <c r="B21" s="8" t="s">
        <v>30</v>
      </c>
      <c r="C21" s="16"/>
      <c r="D21" s="17">
        <v>199680000</v>
      </c>
      <c r="E21" s="16"/>
      <c r="F21" s="16"/>
      <c r="G21" s="16"/>
      <c r="H21" s="17">
        <f>SUM(H22:H25)</f>
        <v>16123250</v>
      </c>
      <c r="I21" s="17">
        <f t="shared" ref="I21" si="6">SUM(I22:I23)</f>
        <v>0</v>
      </c>
      <c r="J21" s="17"/>
      <c r="K21" s="17">
        <f>SUM(K22:K25)</f>
        <v>16123250</v>
      </c>
      <c r="L21" s="15"/>
      <c r="M21" s="18">
        <f>+D21-H21</f>
        <v>183556750</v>
      </c>
    </row>
    <row r="22" spans="1:13" ht="24" customHeight="1" outlineLevel="1">
      <c r="A22" s="44"/>
      <c r="B22" s="19" t="s">
        <v>31</v>
      </c>
      <c r="C22" s="12"/>
      <c r="D22" s="13"/>
      <c r="E22" s="12"/>
      <c r="F22" s="12"/>
      <c r="G22" s="12"/>
      <c r="H22" s="13">
        <f>7791000+1524000</f>
        <v>9315000</v>
      </c>
      <c r="I22" s="13"/>
      <c r="J22" s="13"/>
      <c r="K22" s="13">
        <f>+H22-I22+J22</f>
        <v>9315000</v>
      </c>
      <c r="L22" s="14"/>
      <c r="M22" s="13"/>
    </row>
    <row r="23" spans="1:13" ht="24" customHeight="1" outlineLevel="1">
      <c r="A23" s="44"/>
      <c r="B23" s="11" t="s">
        <v>32</v>
      </c>
      <c r="C23" s="12"/>
      <c r="D23" s="13"/>
      <c r="E23" s="12"/>
      <c r="F23" s="12"/>
      <c r="G23" s="12"/>
      <c r="H23" s="13"/>
      <c r="I23" s="13"/>
      <c r="J23" s="13"/>
      <c r="K23" s="13">
        <f>+H23-I23+J23</f>
        <v>0</v>
      </c>
      <c r="L23" s="14"/>
      <c r="M23" s="13"/>
    </row>
    <row r="24" spans="1:13" ht="24" customHeight="1" outlineLevel="1">
      <c r="A24" s="44"/>
      <c r="B24" s="11" t="s">
        <v>33</v>
      </c>
      <c r="C24" s="12"/>
      <c r="D24" s="13"/>
      <c r="E24" s="12"/>
      <c r="F24" s="12"/>
      <c r="G24" s="12"/>
      <c r="H24" s="13">
        <f>4069800+500000</f>
        <v>4569800</v>
      </c>
      <c r="I24" s="13"/>
      <c r="J24" s="13"/>
      <c r="K24" s="13">
        <f>+H24-I24+J24</f>
        <v>4569800</v>
      </c>
      <c r="L24" s="14"/>
      <c r="M24" s="13"/>
    </row>
    <row r="25" spans="1:13" ht="24" customHeight="1" outlineLevel="1">
      <c r="A25" s="44"/>
      <c r="B25" s="11" t="s">
        <v>34</v>
      </c>
      <c r="C25" s="12"/>
      <c r="D25" s="13"/>
      <c r="E25" s="12"/>
      <c r="F25" s="12"/>
      <c r="G25" s="12"/>
      <c r="H25" s="13">
        <v>2238450</v>
      </c>
      <c r="I25" s="13"/>
      <c r="J25" s="13"/>
      <c r="K25" s="13">
        <f>+H25-I25+J25</f>
        <v>2238450</v>
      </c>
      <c r="L25" s="14"/>
      <c r="M25" s="13"/>
    </row>
    <row r="26" spans="1:13" ht="26.4">
      <c r="A26" s="45"/>
      <c r="B26" s="30" t="s">
        <v>8</v>
      </c>
      <c r="C26" s="31">
        <v>2498</v>
      </c>
      <c r="D26" s="32">
        <f>D21</f>
        <v>199680000</v>
      </c>
      <c r="E26" s="31">
        <v>0</v>
      </c>
      <c r="F26" s="31">
        <v>0</v>
      </c>
      <c r="G26" s="31">
        <f>+E26-F26</f>
        <v>0</v>
      </c>
      <c r="H26" s="32">
        <f>+H21</f>
        <v>16123250</v>
      </c>
      <c r="I26" s="32">
        <f t="shared" ref="I26:M26" si="7">+I21</f>
        <v>0</v>
      </c>
      <c r="J26" s="32">
        <f t="shared" si="7"/>
        <v>0</v>
      </c>
      <c r="K26" s="32">
        <f t="shared" si="7"/>
        <v>16123250</v>
      </c>
      <c r="L26" s="32">
        <f>(I26-J26)*100/H26</f>
        <v>0</v>
      </c>
      <c r="M26" s="32">
        <f t="shared" si="7"/>
        <v>183556750</v>
      </c>
    </row>
    <row r="27" spans="1:13" s="6" customFormat="1">
      <c r="A27" s="41" t="s">
        <v>26</v>
      </c>
      <c r="B27" s="42"/>
      <c r="C27" s="20">
        <f>+C13+C20+C26</f>
        <v>11004</v>
      </c>
      <c r="D27" s="21">
        <f t="shared" ref="D27:K27" si="8">+D26+D20+D13</f>
        <v>1255840000</v>
      </c>
      <c r="E27" s="20">
        <f t="shared" si="8"/>
        <v>7544</v>
      </c>
      <c r="F27" s="20">
        <f t="shared" si="8"/>
        <v>2969</v>
      </c>
      <c r="G27" s="20">
        <f t="shared" si="8"/>
        <v>4575</v>
      </c>
      <c r="H27" s="21">
        <f t="shared" si="8"/>
        <v>796037378.96000004</v>
      </c>
      <c r="I27" s="21">
        <f t="shared" si="8"/>
        <v>587303850.46000004</v>
      </c>
      <c r="J27" s="21">
        <f t="shared" si="8"/>
        <v>25243331</v>
      </c>
      <c r="K27" s="21">
        <f t="shared" si="8"/>
        <v>233976859.5</v>
      </c>
      <c r="L27" s="33">
        <f>(I27-J27)*100/H27</f>
        <v>70.607302410135048</v>
      </c>
      <c r="M27" s="21">
        <f>+M26+M20+M13</f>
        <v>459802621.03999996</v>
      </c>
    </row>
  </sheetData>
  <mergeCells count="19">
    <mergeCell ref="L3:L5"/>
    <mergeCell ref="M3:M5"/>
    <mergeCell ref="D4:D5"/>
    <mergeCell ref="E4:G4"/>
    <mergeCell ref="I3:I5"/>
    <mergeCell ref="J3:J5"/>
    <mergeCell ref="K3:K5"/>
    <mergeCell ref="A1:M1"/>
    <mergeCell ref="C3:D3"/>
    <mergeCell ref="A2:M2"/>
    <mergeCell ref="H4:H5"/>
    <mergeCell ref="E3:H3"/>
    <mergeCell ref="A27:B27"/>
    <mergeCell ref="A21:A26"/>
    <mergeCell ref="A6:A13"/>
    <mergeCell ref="A14:A20"/>
    <mergeCell ref="A3:A5"/>
    <mergeCell ref="B3:B5"/>
    <mergeCell ref="C4:C5"/>
  </mergeCells>
  <pageMargins left="0.47" right="0.4" top="0.17" bottom="0.17" header="0.17" footer="0.17"/>
  <pageSetup paperSize="9" scale="67" orientation="landscape" r:id="rId1"/>
  <ignoredErrors>
    <ignoredError sqref="J11:J13 M10:M19 J19" formulaRange="1"/>
    <ignoredError sqref="K10:L19 L20" formula="1" formulaRange="1"/>
    <ignoredError sqref="K22:K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2018-06-27T05:30:43Z</cp:lastPrinted>
  <dcterms:created xsi:type="dcterms:W3CDTF">2018-05-02T12:11:23Z</dcterms:created>
  <dcterms:modified xsi:type="dcterms:W3CDTF">2018-06-29T09:48:38Z</dcterms:modified>
</cp:coreProperties>
</file>