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93\d\07 งานเบิกจ่าย\00 งานเบิกจ่าย 2018\รายงานภาพรวมทุกสิ้นเดือน\2562\05 ณ 31 พ.ค.62\"/>
    </mc:Choice>
  </mc:AlternateContent>
  <xr:revisionPtr revIDLastSave="0" documentId="13_ncr:1_{2936D271-DCAB-4273-B07C-CECCAF4D38FD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ภาพรวมเบิกจ่า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AP5" i="2" l="1"/>
  <c r="AI5" i="2"/>
  <c r="AI6" i="2" l="1"/>
  <c r="H22" i="1"/>
  <c r="H24" i="1" l="1"/>
  <c r="H12" i="1"/>
  <c r="H11" i="1"/>
  <c r="H9" i="1"/>
  <c r="H8" i="1"/>
  <c r="H7" i="1"/>
  <c r="I24" i="1" l="1"/>
  <c r="E20" i="1" l="1"/>
  <c r="AH7" i="2" l="1"/>
  <c r="O5" i="2" l="1"/>
  <c r="AP8" i="2"/>
  <c r="AB6" i="2"/>
  <c r="AB7" i="2"/>
  <c r="AB5" i="2"/>
  <c r="P12" i="2"/>
  <c r="P11" i="2"/>
  <c r="AA8" i="2"/>
  <c r="Z8" i="2"/>
  <c r="Y8" i="2"/>
  <c r="X8" i="2"/>
  <c r="W8" i="2"/>
  <c r="V8" i="2"/>
  <c r="U8" i="2"/>
  <c r="T8" i="2"/>
  <c r="S8" i="2"/>
  <c r="R8" i="2"/>
  <c r="Q8" i="2"/>
  <c r="P8" i="2"/>
  <c r="AB8" i="2" l="1"/>
  <c r="F13" i="1"/>
  <c r="L22" i="1" l="1"/>
  <c r="L15" i="1"/>
  <c r="L16" i="1"/>
  <c r="L18" i="1"/>
  <c r="L19" i="1"/>
  <c r="L8" i="1"/>
  <c r="L9" i="1"/>
  <c r="L12" i="1"/>
  <c r="J25" i="1"/>
  <c r="J26" i="1" s="1"/>
  <c r="L24" i="1" l="1"/>
  <c r="E8" i="2" l="1"/>
  <c r="F8" i="2"/>
  <c r="G8" i="2"/>
  <c r="H8" i="2"/>
  <c r="I8" i="2"/>
  <c r="J8" i="2"/>
  <c r="K8" i="2"/>
  <c r="L8" i="2"/>
  <c r="M8" i="2"/>
  <c r="N8" i="2"/>
  <c r="C8" i="2"/>
  <c r="D7" i="2"/>
  <c r="O7" i="2" s="1"/>
  <c r="D6" i="2"/>
  <c r="O6" i="2" s="1"/>
  <c r="O8" i="2" l="1"/>
  <c r="D8" i="2"/>
  <c r="AO6" i="2" l="1"/>
  <c r="AO7" i="2"/>
  <c r="AO5" i="2"/>
  <c r="AC8" i="2"/>
  <c r="AD8" i="2"/>
  <c r="AE8" i="2"/>
  <c r="AF8" i="2"/>
  <c r="AG8" i="2"/>
  <c r="AH8" i="2"/>
  <c r="AI8" i="2"/>
  <c r="AJ8" i="2"/>
  <c r="AK8" i="2"/>
  <c r="AL8" i="2"/>
  <c r="AM8" i="2"/>
  <c r="AQ5" i="2" l="1"/>
  <c r="AR5" i="2"/>
  <c r="AR7" i="2"/>
  <c r="AQ7" i="2"/>
  <c r="AQ6" i="2"/>
  <c r="AR6" i="2"/>
  <c r="AO8" i="2"/>
  <c r="B8" i="2"/>
  <c r="AR8" i="2" l="1"/>
  <c r="O12" i="2" s="1"/>
  <c r="AC12" i="2" s="1"/>
  <c r="AQ8" i="2"/>
  <c r="O11" i="2"/>
  <c r="AC11" i="2" s="1"/>
  <c r="AN8" i="2"/>
  <c r="I21" i="1" l="1"/>
  <c r="F20" i="1" l="1"/>
  <c r="E13" i="1" l="1"/>
  <c r="H23" i="1" l="1"/>
  <c r="L23" i="1" s="1"/>
  <c r="H21" i="1" l="1"/>
  <c r="L21" i="1" s="1"/>
  <c r="L11" i="1"/>
  <c r="L7" i="1"/>
  <c r="E26" i="1" l="1"/>
  <c r="C26" i="1"/>
  <c r="G25" i="1"/>
  <c r="I25" i="1"/>
  <c r="H25" i="1"/>
  <c r="D25" i="1"/>
  <c r="I14" i="1"/>
  <c r="I17" i="1"/>
  <c r="H17" i="1"/>
  <c r="L17" i="1" s="1"/>
  <c r="D17" i="1"/>
  <c r="H14" i="1"/>
  <c r="D14" i="1"/>
  <c r="G20" i="1"/>
  <c r="K25" i="1" l="1"/>
  <c r="M25" i="1" s="1"/>
  <c r="O25" i="1"/>
  <c r="L14" i="1"/>
  <c r="L25" i="1"/>
  <c r="N25" i="1"/>
  <c r="I20" i="1"/>
  <c r="H20" i="1"/>
  <c r="D20" i="1"/>
  <c r="H6" i="1"/>
  <c r="I6" i="1"/>
  <c r="I10" i="1"/>
  <c r="H10" i="1"/>
  <c r="K20" i="1" l="1"/>
  <c r="O20" i="1"/>
  <c r="L20" i="1"/>
  <c r="L6" i="1"/>
  <c r="L10" i="1"/>
  <c r="M20" i="1"/>
  <c r="N20" i="1"/>
  <c r="G13" i="1"/>
  <c r="F26" i="1"/>
  <c r="D26" i="1"/>
  <c r="H13" i="1"/>
  <c r="I13" i="1"/>
  <c r="O13" i="1" s="1"/>
  <c r="O26" i="1" l="1"/>
  <c r="K13" i="1"/>
  <c r="L13" i="1" s="1"/>
  <c r="L26" i="1" s="1"/>
  <c r="AO11" i="2" s="1"/>
  <c r="G26" i="1"/>
  <c r="I26" i="1"/>
  <c r="N13" i="1"/>
  <c r="N26" i="1" s="1"/>
  <c r="H26" i="1"/>
  <c r="M13" i="1" l="1"/>
  <c r="K26" i="1"/>
  <c r="M26" i="1" s="1"/>
</calcChain>
</file>

<file path=xl/sharedStrings.xml><?xml version="1.0" encoding="utf-8"?>
<sst xmlns="http://schemas.openxmlformats.org/spreadsheetml/2006/main" count="122" uniqueCount="88">
  <si>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</si>
  <si>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</si>
  <si>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</si>
  <si>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</si>
  <si>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</si>
  <si>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</si>
  <si>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</si>
  <si>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</si>
  <si>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</si>
  <si>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</si>
  <si>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</si>
  <si>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</si>
  <si>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</si>
  <si>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</si>
  <si>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</si>
  <si>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</si>
  <si>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</si>
  <si>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</si>
  <si>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</si>
  <si>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</si>
  <si>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</si>
  <si>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</si>
  <si>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</si>
  <si>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</si>
  <si>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</si>
  <si>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</si>
  <si>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</si>
  <si>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</si>
  <si>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</si>
  <si>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(นายธนัช นฤพรพงศ์)</t>
  </si>
  <si>
    <t>ผู้ช่วยผู้อำนวยการ</t>
  </si>
  <si>
    <t>ผู้จัดทำ</t>
  </si>
  <si>
    <t>ผู้ตรวจสอบ</t>
  </si>
  <si>
    <t>1. งบสนับสนุนชุมชน (ค86700)</t>
  </si>
  <si>
    <t>ค่าสนับสนุนกลไกติดตามประเมินผล</t>
  </si>
  <si>
    <t>ค่าเช่าบ้านเพิ่มเติมและบริหารจัดการสผ.</t>
  </si>
  <si>
    <t>........../............../...........</t>
  </si>
  <si>
    <t>งบบริหารจัดการ (สผ. ส่วนกลาง)</t>
  </si>
  <si>
    <t>งบประมาณคงเหลือจากงบที่ได้รับจัดสรร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</si>
  <si>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</t>
    </r>
  </si>
  <si>
    <t>1. เงินคงเหลือรอเบิกจ่ายของปีงบประมาณ 2559 ถูกหักลบเนื่องจากชุมชนเพิ่มสินถมยา มีการเบิกจ่ายและคืนงบประมาณ จำนวน 1,118,200 บาท (ฐานของสน.บ้านมั่นคง)</t>
  </si>
  <si>
    <t>ณ 30 ก.ย. 61</t>
  </si>
  <si>
    <t>คงเหลือ</t>
  </si>
  <si>
    <t>2557-2559</t>
  </si>
  <si>
    <t>หมายเหตุ</t>
  </si>
  <si>
    <t>งบประมาณปี 2557-2559 ดำเนินการปี 2560 และ 2561 (งบบ้านมั่นคง)</t>
  </si>
  <si>
    <t>1.งบสนับสนุนการพัฒนาและปรับปรุงสาธารณูปโภค ค 86568</t>
  </si>
  <si>
    <t>2.งบช่วยเหลือผู้ได้รับผลกระทบและเสียโอกาส ค 86668</t>
  </si>
  <si>
    <t>1.งบช่วยเหลือและสนับสนุนการพัฒนาชุมชนริมคลอง ค86700</t>
  </si>
  <si>
    <t>งบประมาณปี</t>
  </si>
  <si>
    <t>2. งบปีงบประมาณ 2560 คงเหลือรอเบิกจ่าย หักลบ เงินคืนงบบริหารจัดการของสค.เลียบคลองสองสามัคคี จก. จำนวน 700 บาท เนื่องจากนับว่าเป็นผลการเบิกจ่ายไปแล้ว (สน.การเงินนับเป็นรายได้)</t>
  </si>
  <si>
    <t>ดำเนินการปีงบประมาณ พ.ศ. 2562</t>
  </si>
  <si>
    <t>เบิกจ่ายระหว่างปี</t>
  </si>
  <si>
    <t>ต.ค.61</t>
  </si>
  <si>
    <t>พ.ย.61</t>
  </si>
  <si>
    <t>ธ.ค.61</t>
  </si>
  <si>
    <t>ม.ค.62</t>
  </si>
  <si>
    <t>ก.พ.62</t>
  </si>
  <si>
    <t>มี.ค.62</t>
  </si>
  <si>
    <t>เม.ย.62</t>
  </si>
  <si>
    <t>พ.ค.62</t>
  </si>
  <si>
    <t>มิ.ย.62</t>
  </si>
  <si>
    <t>ก.ค.62</t>
  </si>
  <si>
    <t>ส.ค.62</t>
  </si>
  <si>
    <t>ก.ย.62</t>
  </si>
  <si>
    <t>คืน/ยกเลิก
ระหว่างปี</t>
  </si>
  <si>
    <t>อนุมัติ
ระหว่างปี</t>
  </si>
  <si>
    <t>คงเหลือยกไป
เบิกจ่ายปี 2562</t>
  </si>
  <si>
    <t>สรุป</t>
  </si>
  <si>
    <t xml:space="preserve">บาท </t>
  </si>
  <si>
    <t>คงเหลืองบประมาณรอเบิกจ่าย จำนวน</t>
  </si>
  <si>
    <t>(นางสาวพัชรินทร์ จริงสุระ)</t>
  </si>
  <si>
    <t>อนุมัติระหว่างปี</t>
  </si>
  <si>
    <t xml:space="preserve">3. งบโครงการพัฒนาที่อยู่อาศัยชั่วคราว กรณีไฟไหม้ไล่รื้อ ปี 2560 (84500) ของกองทุนสหกรณ์เคหสถานออมทรัพย์ร่วมใจ 1 เพื่อที่อยู่อาศัย มีการอนุมัติและเบิกจ่ายโดยอำนาจของผู้อำนวยการสถาบันฯ จำนวน 292,000 บาท </t>
  </si>
  <si>
    <t>บริหารงานทั่วไป</t>
  </si>
  <si>
    <t>การเบิกจ่ายจริง</t>
  </si>
  <si>
    <t>คงเหลือ
รอเบิกจ่าย</t>
  </si>
  <si>
    <t>อยู่ระหว่างการรับคืนเงินจากชุมชน</t>
  </si>
  <si>
    <t>(นางสาวณัฐวสา ใจชื่น)</t>
  </si>
  <si>
    <t>หัวหน้างานบริหารสำนักงาน</t>
  </si>
  <si>
    <t>คืนงบประมาณระหว่างปี</t>
  </si>
  <si>
    <t>รับคืนเงินจากชุมชน</t>
  </si>
  <si>
    <t>ร้อยละเบิกจ่าย</t>
  </si>
  <si>
    <t>งบประมาณปี 2560 ดำเนินการปี 2560 - 2562</t>
  </si>
  <si>
    <t>งบประมาณปี 2561 ดำเนินการปี 2561 - 2562</t>
  </si>
  <si>
    <t>ประจำเดือน พฤษภาคม 2562</t>
  </si>
  <si>
    <t>ณ วันที่ 31 พฤษภาคม 2562 มีการเบิกจ่ายงบประมาณรวม</t>
  </si>
  <si>
    <t>ภาพรวมผลการเบิกจ่ายรายเดือน ณ วันที่ 31 พฤษภาคม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</si>
</sst>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(* #,##0_);_(* \(#,##0\);_(* &quot;-&quot;??_);_(@_)"/>
    <numFmt numFmtId="167" formatCode="\(General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3" fontId="2" fillId="0" borderId="0" xfId="1" applyFont="1"/>
    <xf numFmtId="166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6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6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6" fontId="3" fillId="34" borderId="11" xfId="1" applyNumberFormat="1" applyFont="1" applyFill="1" applyBorder="1"/>
    <xf numFmtId="43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6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6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6" fontId="4" fillId="36" borderId="11" xfId="1" applyNumberFormat="1" applyFont="1" applyFill="1" applyBorder="1"/>
    <xf numFmtId="43" fontId="4" fillId="36" borderId="11" xfId="1" applyFont="1" applyFill="1" applyBorder="1"/>
    <xf numFmtId="43" fontId="2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left"/>
    </xf>
    <xf numFmtId="43" fontId="3" fillId="34" borderId="11" xfId="1" applyFont="1" applyFill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167" fontId="2" fillId="0" borderId="0" xfId="1" applyNumberFormat="1" applyFont="1"/>
    <xf numFmtId="43" fontId="3" fillId="35" borderId="11" xfId="1" applyFont="1" applyFill="1" applyBorder="1"/>
    <xf numFmtId="43" fontId="3" fillId="33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43" fontId="0" fillId="0" borderId="0" xfId="0" applyNumberFormat="1"/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/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43" fontId="2" fillId="0" borderId="11" xfId="1" applyFont="1" applyBorder="1" applyAlignment="1">
      <alignment vertical="center"/>
    </xf>
    <xf numFmtId="43" fontId="4" fillId="34" borderId="11" xfId="0" applyNumberFormat="1" applyFont="1" applyFill="1" applyBorder="1"/>
    <xf numFmtId="43" fontId="4" fillId="36" borderId="11" xfId="0" applyNumberFormat="1" applyFont="1" applyFill="1" applyBorder="1"/>
    <xf numFmtId="0" fontId="2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43" fontId="3" fillId="34" borderId="11" xfId="1" applyFont="1" applyFill="1" applyBorder="1" applyAlignment="1">
      <alignment horizontal="center" vertical="center" wrapText="1"/>
    </xf>
    <xf numFmtId="43" fontId="3" fillId="34" borderId="11" xfId="1" applyFont="1" applyFill="1" applyBorder="1" applyAlignment="1">
      <alignment horizontal="center" vertical="center"/>
    </xf>
    <xf numFmtId="43" fontId="3" fillId="34" borderId="14" xfId="1" applyFont="1" applyFill="1" applyBorder="1" applyAlignment="1">
      <alignment horizontal="center" vertical="center" wrapText="1"/>
    </xf>
    <xf numFmtId="43" fontId="3" fillId="34" borderId="15" xfId="1" applyFont="1" applyFill="1" applyBorder="1" applyAlignment="1">
      <alignment horizontal="center" vertical="center" wrapText="1"/>
    </xf>
    <xf numFmtId="43" fontId="3" fillId="34" borderId="16" xfId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  <xf numFmtId="166" fontId="3" fillId="34" borderId="11" xfId="1" applyNumberFormat="1" applyFont="1" applyFill="1" applyBorder="1" applyAlignment="1">
      <alignment horizontal="center" vertical="center"/>
    </xf>
    <xf numFmtId="43" fontId="3" fillId="38" borderId="18" xfId="1" applyFont="1" applyFill="1" applyBorder="1" applyAlignment="1">
      <alignment horizontal="center" vertical="center"/>
    </xf>
    <xf numFmtId="43" fontId="3" fillId="38" borderId="19" xfId="1" applyFont="1" applyFill="1" applyBorder="1" applyAlignment="1">
      <alignment horizontal="center" vertical="center"/>
    </xf>
    <xf numFmtId="43" fontId="3" fillId="38" borderId="20" xfId="1" applyFont="1" applyFill="1" applyBorder="1" applyAlignment="1">
      <alignment horizontal="center" vertical="center"/>
    </xf>
    <xf numFmtId="43" fontId="3" fillId="38" borderId="21" xfId="1" applyFont="1" applyFill="1" applyBorder="1" applyAlignment="1">
      <alignment horizontal="center" vertical="center"/>
    </xf>
    <xf numFmtId="43" fontId="3" fillId="38" borderId="22" xfId="1" applyFont="1" applyFill="1" applyBorder="1" applyAlignment="1">
      <alignment horizontal="center" vertical="center"/>
    </xf>
    <xf numFmtId="43" fontId="3" fillId="38" borderId="23" xfId="1" applyFont="1" applyFill="1" applyBorder="1" applyAlignment="1">
      <alignment horizontal="center" vertical="center"/>
    </xf>
    <xf numFmtId="166" fontId="3" fillId="34" borderId="12" xfId="1" applyNumberFormat="1" applyFont="1" applyFill="1" applyBorder="1" applyAlignment="1">
      <alignment horizontal="center" vertical="center"/>
    </xf>
    <xf numFmtId="166" fontId="3" fillId="34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3" fillId="33" borderId="14" xfId="1" applyFont="1" applyFill="1" applyBorder="1" applyAlignment="1">
      <alignment horizontal="center" vertical="center"/>
    </xf>
    <xf numFmtId="43" fontId="3" fillId="33" borderId="16" xfId="1" applyFont="1" applyFill="1" applyBorder="1" applyAlignment="1">
      <alignment horizontal="center" vertical="center"/>
    </xf>
    <xf numFmtId="0" fontId="3" fillId="37" borderId="14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43" fontId="3" fillId="33" borderId="14" xfId="1" applyFont="1" applyFill="1" applyBorder="1" applyAlignment="1">
      <alignment horizontal="center" vertical="center" wrapText="1"/>
    </xf>
    <xf numFmtId="43" fontId="3" fillId="33" borderId="16" xfId="1" applyFont="1" applyFill="1" applyBorder="1" applyAlignment="1">
      <alignment horizontal="center" vertical="center" wrapText="1"/>
    </xf>
    <xf numFmtId="43" fontId="3" fillId="34" borderId="12" xfId="1" applyFont="1" applyFill="1" applyBorder="1" applyAlignment="1">
      <alignment horizontal="center" vertical="center" wrapText="1"/>
    </xf>
    <xf numFmtId="43" fontId="3" fillId="34" borderId="17" xfId="1" applyFont="1" applyFill="1" applyBorder="1" applyAlignment="1">
      <alignment horizontal="center" vertical="center" wrapText="1"/>
    </xf>
    <xf numFmtId="43" fontId="3" fillId="34" borderId="13" xfId="1" applyFont="1" applyFill="1" applyBorder="1" applyAlignment="1">
      <alignment horizontal="center" vertical="center" wrapText="1"/>
    </xf>
    <xf numFmtId="43" fontId="3" fillId="35" borderId="12" xfId="1" applyFont="1" applyFill="1" applyBorder="1" applyAlignment="1">
      <alignment horizontal="center" vertical="center"/>
    </xf>
    <xf numFmtId="43" fontId="3" fillId="35" borderId="17" xfId="1" applyFont="1" applyFill="1" applyBorder="1" applyAlignment="1">
      <alignment horizontal="center" vertical="center"/>
    </xf>
    <xf numFmtId="43" fontId="3" fillId="35" borderId="13" xfId="1" applyFont="1" applyFill="1" applyBorder="1" applyAlignment="1">
      <alignment horizontal="center" vertical="center"/>
    </xf>
    <xf numFmtId="43" fontId="3" fillId="33" borderId="12" xfId="1" applyFont="1" applyFill="1" applyBorder="1" applyAlignment="1">
      <alignment horizontal="center" vertical="center"/>
    </xf>
    <xf numFmtId="43" fontId="3" fillId="33" borderId="17" xfId="1" applyFont="1" applyFill="1" applyBorder="1" applyAlignment="1">
      <alignment horizontal="center" vertical="center"/>
    </xf>
    <xf numFmtId="43" fontId="3" fillId="33" borderId="13" xfId="1" applyFont="1" applyFill="1" applyBorder="1" applyAlignment="1">
      <alignment horizontal="center" vertical="center"/>
    </xf>
    <xf numFmtId="43" fontId="3" fillId="33" borderId="19" xfId="1" applyFont="1" applyFill="1" applyBorder="1" applyAlignment="1">
      <alignment horizontal="center" vertical="center"/>
    </xf>
    <xf numFmtId="43" fontId="3" fillId="33" borderId="23" xfId="1" applyFont="1" applyFill="1" applyBorder="1" applyAlignment="1">
      <alignment horizontal="center" vertical="center"/>
    </xf>
  </cellXfs>
  <cellStyles count="60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1" builtinId="3"/>
    <cellStyle name="Comma 2" xfId="31" xr:uid="{00000000-0005-0000-0000-00001C000000}"/>
    <cellStyle name="Comma 2 2" xfId="32" xr:uid="{00000000-0005-0000-0000-00001D000000}"/>
    <cellStyle name="Comma 2 3" xfId="33" xr:uid="{00000000-0005-0000-0000-00001E000000}"/>
    <cellStyle name="Comma 3" xfId="34" xr:uid="{00000000-0005-0000-0000-00001F000000}"/>
    <cellStyle name="Comma 3 2" xfId="35" xr:uid="{00000000-0005-0000-0000-000020000000}"/>
    <cellStyle name="Comma 4" xfId="30" xr:uid="{00000000-0005-0000-0000-000021000000}"/>
    <cellStyle name="Comma 5" xfId="36" xr:uid="{00000000-0005-0000-0000-000022000000}"/>
    <cellStyle name="Currency 2" xfId="38" xr:uid="{00000000-0005-0000-0000-000023000000}"/>
    <cellStyle name="Currency 3" xfId="37" xr:uid="{00000000-0005-0000-0000-000024000000}"/>
    <cellStyle name="Explanatory Text 2" xfId="39" xr:uid="{00000000-0005-0000-0000-000025000000}"/>
    <cellStyle name="Good 2" xfId="40" xr:uid="{00000000-0005-0000-0000-000026000000}"/>
    <cellStyle name="Heading 1 2" xfId="41" xr:uid="{00000000-0005-0000-0000-000027000000}"/>
    <cellStyle name="Heading 2 2" xfId="42" xr:uid="{00000000-0005-0000-0000-000028000000}"/>
    <cellStyle name="Heading 3 2" xfId="43" xr:uid="{00000000-0005-0000-0000-000029000000}"/>
    <cellStyle name="Heading 4 2" xfId="44" xr:uid="{00000000-0005-0000-0000-00002A000000}"/>
    <cellStyle name="Input 2" xfId="45" xr:uid="{00000000-0005-0000-0000-00002B000000}"/>
    <cellStyle name="Linked Cell 2" xfId="46" xr:uid="{00000000-0005-0000-0000-00002C000000}"/>
    <cellStyle name="Neutral 2" xfId="47" xr:uid="{00000000-0005-0000-0000-00002D000000}"/>
    <cellStyle name="Normal" xfId="0" builtinId="0"/>
    <cellStyle name="Normal 2" xfId="48" xr:uid="{00000000-0005-0000-0000-00002F000000}"/>
    <cellStyle name="Normal 2 2" xfId="49" xr:uid="{00000000-0005-0000-0000-000030000000}"/>
    <cellStyle name="Normal 2 3" xfId="50" xr:uid="{00000000-0005-0000-0000-000031000000}"/>
    <cellStyle name="Normal 3" xfId="51" xr:uid="{00000000-0005-0000-0000-000032000000}"/>
    <cellStyle name="Normal 3 2" xfId="52" xr:uid="{00000000-0005-0000-0000-000033000000}"/>
    <cellStyle name="Normal 3 3" xfId="53" xr:uid="{00000000-0005-0000-0000-000034000000}"/>
    <cellStyle name="Normal 4" xfId="2" xr:uid="{00000000-0005-0000-0000-000035000000}"/>
    <cellStyle name="Normal 6" xfId="54" xr:uid="{00000000-0005-0000-0000-000036000000}"/>
    <cellStyle name="Note 2" xfId="55" xr:uid="{00000000-0005-0000-0000-000037000000}"/>
    <cellStyle name="Output 2" xfId="56" xr:uid="{00000000-0005-0000-0000-000038000000}"/>
    <cellStyle name="Title 2" xfId="57" xr:uid="{00000000-0005-0000-0000-000039000000}"/>
    <cellStyle name="Total 2" xfId="58" xr:uid="{00000000-0005-0000-0000-00003A000000}"/>
    <cellStyle name="Warning Text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L21" sqref="L21"/>
    </sheetView>
  </sheetViews>
  <sheetFormatPr defaultColWidth="8.85546875" defaultRowHeight="24" outlineLevelRow="1"/>
  <cols>
    <col min="1" max="1" width="11.7109375" style="1" customWidth="1"/>
    <col min="2" max="2" width="34.7109375" style="1" bestFit="1" customWidth="1"/>
    <col min="3" max="3" width="10.140625" style="3" customWidth="1"/>
    <col min="4" max="4" width="20.28515625" style="2" customWidth="1"/>
    <col min="5" max="7" width="8.7109375" style="3" customWidth="1"/>
    <col min="8" max="8" width="18.5703125" style="2" bestFit="1" customWidth="1"/>
    <col min="9" max="9" width="18.7109375" style="2" customWidth="1"/>
    <col min="10" max="10" width="17.5703125" style="2" customWidth="1"/>
    <col min="11" max="12" width="18.5703125" style="2" bestFit="1" customWidth="1"/>
    <col min="13" max="13" width="11.28515625" style="1" customWidth="1"/>
    <col min="14" max="15" width="18.28515625" style="2" customWidth="1"/>
    <col min="16" max="16" width="18.5703125" style="1" bestFit="1" customWidth="1"/>
    <col min="17" max="17" width="17.7109375" style="1" bestFit="1" customWidth="1"/>
    <col min="18" max="18" width="14" style="2" bestFit="1" customWidth="1"/>
    <col min="19" max="19" width="12.28515625" style="1" bestFit="1" customWidth="1"/>
    <col min="20" max="20" width="14.7109375" style="1" bestFit="1" customWidth="1"/>
    <col min="21" max="16384" width="8.85546875" style="1"/>
  </cols>
  <sheetData>
    <row r="1" spans="1:20" ht="27.7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0" ht="27.75">
      <c r="A2" s="68" t="s">
        <v>85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0" s="4" customFormat="1" ht="18.600000000000001" customHeight="1">
      <c r="A3" s="80" t="s">
        <v>26</v>
      </c>
      <c r="B3" s="81" t="s">
        <v>1</v>
      </c>
      <c r="C3" s="89" t="s">
        <v>11</v>
      </c>
      <c r="D3" s="90"/>
      <c r="E3" s="82" t="s">
        <v>12</v>
      </c>
      <c r="F3" s="82"/>
      <c r="G3" s="82"/>
      <c r="H3" s="82"/>
      <c r="I3" s="63" t="s">
        <v>17</v>
      </c>
      <c r="J3" s="63" t="s">
        <v>16</v>
      </c>
      <c r="K3" s="65" t="s">
        <v>75</v>
      </c>
      <c r="L3" s="65" t="s">
        <v>76</v>
      </c>
      <c r="M3" s="80" t="s">
        <v>18</v>
      </c>
      <c r="N3" s="63" t="s">
        <v>28</v>
      </c>
      <c r="O3" s="63" t="s">
        <v>38</v>
      </c>
      <c r="R3" s="50"/>
    </row>
    <row r="4" spans="1:20" s="4" customFormat="1">
      <c r="A4" s="81"/>
      <c r="B4" s="81"/>
      <c r="C4" s="82" t="s">
        <v>9</v>
      </c>
      <c r="D4" s="64" t="s">
        <v>10</v>
      </c>
      <c r="E4" s="82" t="s">
        <v>9</v>
      </c>
      <c r="F4" s="82"/>
      <c r="G4" s="82"/>
      <c r="H4" s="63" t="s">
        <v>19</v>
      </c>
      <c r="I4" s="64"/>
      <c r="J4" s="64"/>
      <c r="K4" s="66"/>
      <c r="L4" s="66"/>
      <c r="M4" s="80"/>
      <c r="N4" s="63"/>
      <c r="O4" s="63"/>
      <c r="R4" s="50"/>
    </row>
    <row r="5" spans="1:20" s="4" customFormat="1">
      <c r="A5" s="81"/>
      <c r="B5" s="81"/>
      <c r="C5" s="82"/>
      <c r="D5" s="64"/>
      <c r="E5" s="7" t="s">
        <v>13</v>
      </c>
      <c r="F5" s="7" t="s">
        <v>14</v>
      </c>
      <c r="G5" s="7" t="s">
        <v>15</v>
      </c>
      <c r="H5" s="64"/>
      <c r="I5" s="64"/>
      <c r="J5" s="64"/>
      <c r="K5" s="67"/>
      <c r="L5" s="67"/>
      <c r="M5" s="80"/>
      <c r="N5" s="63"/>
      <c r="O5" s="63"/>
      <c r="R5" s="50"/>
    </row>
    <row r="6" spans="1:20" s="5" customFormat="1">
      <c r="A6" s="74">
        <v>2559</v>
      </c>
      <c r="B6" s="8" t="s">
        <v>0</v>
      </c>
      <c r="C6" s="9"/>
      <c r="D6" s="10"/>
      <c r="E6" s="9"/>
      <c r="F6" s="9"/>
      <c r="G6" s="9"/>
      <c r="H6" s="10">
        <f>SUM(H7:H9)</f>
        <v>64197200</v>
      </c>
      <c r="I6" s="10">
        <f t="shared" ref="I6" si="0">SUM(I7:I9)</f>
        <v>96852208</v>
      </c>
      <c r="J6" s="83" t="s">
        <v>77</v>
      </c>
      <c r="K6" s="84"/>
      <c r="L6" s="10">
        <f>SUM(H6-I6)</f>
        <v>-32655008</v>
      </c>
      <c r="M6" s="8"/>
      <c r="N6" s="10"/>
      <c r="O6" s="10"/>
      <c r="R6" s="51"/>
    </row>
    <row r="7" spans="1:20" ht="24.6" customHeight="1" outlineLevel="1">
      <c r="A7" s="75"/>
      <c r="B7" s="11" t="s">
        <v>3</v>
      </c>
      <c r="C7" s="12"/>
      <c r="D7" s="13"/>
      <c r="E7" s="12"/>
      <c r="F7" s="12"/>
      <c r="G7" s="12"/>
      <c r="H7" s="13">
        <f>193770000-151781800</f>
        <v>41988200</v>
      </c>
      <c r="I7" s="13">
        <v>62888658</v>
      </c>
      <c r="J7" s="85"/>
      <c r="K7" s="86"/>
      <c r="L7" s="56">
        <f t="shared" ref="L7:L12" si="1">SUM(H7-I7)</f>
        <v>-20900458</v>
      </c>
      <c r="M7" s="14"/>
      <c r="N7" s="13"/>
      <c r="O7" s="13"/>
    </row>
    <row r="8" spans="1:20" ht="24.6" customHeight="1" outlineLevel="1">
      <c r="A8" s="75"/>
      <c r="B8" s="11" t="s">
        <v>2</v>
      </c>
      <c r="C8" s="12"/>
      <c r="D8" s="13"/>
      <c r="E8" s="12"/>
      <c r="F8" s="12"/>
      <c r="G8" s="12"/>
      <c r="H8" s="13">
        <f>97210000-76810000</f>
        <v>20400000</v>
      </c>
      <c r="I8" s="13">
        <v>31585000</v>
      </c>
      <c r="J8" s="85"/>
      <c r="K8" s="86"/>
      <c r="L8" s="56">
        <f t="shared" si="1"/>
        <v>-11185000</v>
      </c>
      <c r="M8" s="14"/>
      <c r="N8" s="13"/>
      <c r="O8" s="13"/>
    </row>
    <row r="9" spans="1:20" ht="24.6" customHeight="1" outlineLevel="1">
      <c r="A9" s="75"/>
      <c r="B9" s="11" t="s">
        <v>4</v>
      </c>
      <c r="C9" s="12"/>
      <c r="D9" s="13"/>
      <c r="E9" s="12"/>
      <c r="F9" s="12"/>
      <c r="G9" s="12"/>
      <c r="H9" s="13">
        <f>7677000-5868000</f>
        <v>1809000</v>
      </c>
      <c r="I9" s="13">
        <v>2378550</v>
      </c>
      <c r="J9" s="85"/>
      <c r="K9" s="86"/>
      <c r="L9" s="56">
        <f t="shared" si="1"/>
        <v>-569550</v>
      </c>
      <c r="M9" s="14"/>
      <c r="N9" s="13"/>
      <c r="O9" s="13"/>
      <c r="Q9" s="33"/>
    </row>
    <row r="10" spans="1:20" s="6" customFormat="1">
      <c r="A10" s="75"/>
      <c r="B10" s="15" t="s">
        <v>7</v>
      </c>
      <c r="C10" s="16"/>
      <c r="D10" s="17"/>
      <c r="E10" s="16"/>
      <c r="F10" s="16"/>
      <c r="G10" s="16"/>
      <c r="H10" s="17">
        <f>SUM(H11:H12)</f>
        <v>115886860.96000001</v>
      </c>
      <c r="I10" s="17">
        <f t="shared" ref="I10" si="2">SUM(I11:I12)</f>
        <v>122069729.96000001</v>
      </c>
      <c r="J10" s="85"/>
      <c r="K10" s="86"/>
      <c r="L10" s="10">
        <f t="shared" si="1"/>
        <v>-6182869</v>
      </c>
      <c r="M10" s="15"/>
      <c r="N10" s="17"/>
      <c r="O10" s="17"/>
      <c r="R10" s="52"/>
    </row>
    <row r="11" spans="1:20" ht="24.6" customHeight="1" outlineLevel="1">
      <c r="A11" s="75"/>
      <c r="B11" s="11" t="s">
        <v>5</v>
      </c>
      <c r="C11" s="12"/>
      <c r="D11" s="13"/>
      <c r="E11" s="12"/>
      <c r="F11" s="12"/>
      <c r="G11" s="12"/>
      <c r="H11" s="13">
        <f>357298850-266018850</f>
        <v>91280000</v>
      </c>
      <c r="I11" s="13">
        <v>105320000</v>
      </c>
      <c r="J11" s="85"/>
      <c r="K11" s="86"/>
      <c r="L11" s="56">
        <f t="shared" si="1"/>
        <v>-14040000</v>
      </c>
      <c r="M11" s="14"/>
      <c r="N11" s="13"/>
      <c r="O11" s="13"/>
    </row>
    <row r="12" spans="1:20" ht="24.6" customHeight="1" outlineLevel="1">
      <c r="A12" s="75"/>
      <c r="B12" s="11" t="s">
        <v>6</v>
      </c>
      <c r="C12" s="12"/>
      <c r="D12" s="13"/>
      <c r="E12" s="12"/>
      <c r="F12" s="12"/>
      <c r="G12" s="12"/>
      <c r="H12" s="13">
        <f>25056860.96-450000</f>
        <v>24606860.960000001</v>
      </c>
      <c r="I12" s="13">
        <v>16749729.960000001</v>
      </c>
      <c r="J12" s="87"/>
      <c r="K12" s="88"/>
      <c r="L12" s="56">
        <f t="shared" si="1"/>
        <v>7857131</v>
      </c>
      <c r="M12" s="14"/>
      <c r="N12" s="13"/>
      <c r="O12" s="13"/>
    </row>
    <row r="13" spans="1:20" s="6" customFormat="1" ht="26.25">
      <c r="A13" s="76"/>
      <c r="B13" s="22" t="s">
        <v>8</v>
      </c>
      <c r="C13" s="23">
        <v>3810</v>
      </c>
      <c r="D13" s="24">
        <v>304800000</v>
      </c>
      <c r="E13" s="23">
        <f>3852+22</f>
        <v>3874</v>
      </c>
      <c r="F13" s="23">
        <f>760+2067+231</f>
        <v>3058</v>
      </c>
      <c r="G13" s="23">
        <f>+E13-F13</f>
        <v>816</v>
      </c>
      <c r="H13" s="24">
        <f>+H6+H10</f>
        <v>180084060.96000001</v>
      </c>
      <c r="I13" s="24">
        <f>+I6+I10</f>
        <v>218921937.96000001</v>
      </c>
      <c r="J13" s="24">
        <v>36264158</v>
      </c>
      <c r="K13" s="24">
        <f>+I13-J13</f>
        <v>182657779.96000001</v>
      </c>
      <c r="L13" s="24">
        <f>SUM(H13-K13-1118200)</f>
        <v>-3691919</v>
      </c>
      <c r="M13" s="25">
        <f>+K13*100/H13</f>
        <v>101.42917645586172</v>
      </c>
      <c r="N13" s="24">
        <f>+D13-H13</f>
        <v>124715939.03999999</v>
      </c>
      <c r="O13" s="24">
        <f>+D13-I13+J13</f>
        <v>122142220.03999999</v>
      </c>
      <c r="R13" s="52"/>
    </row>
    <row r="14" spans="1:20" s="6" customFormat="1" ht="24" customHeight="1">
      <c r="A14" s="77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I14" si="3">SUM(H15:H16)</f>
        <v>560668712</v>
      </c>
      <c r="I14" s="17">
        <f t="shared" si="3"/>
        <v>400289061</v>
      </c>
      <c r="J14" s="17"/>
      <c r="K14" s="17"/>
      <c r="L14" s="17">
        <f>+H14-I14</f>
        <v>160379651</v>
      </c>
      <c r="M14" s="15"/>
      <c r="N14" s="18"/>
      <c r="O14" s="18"/>
      <c r="R14" s="52"/>
    </row>
    <row r="15" spans="1:20" ht="24" customHeight="1" outlineLevel="1">
      <c r="A15" s="78"/>
      <c r="B15" s="19" t="s">
        <v>20</v>
      </c>
      <c r="C15" s="12"/>
      <c r="D15" s="13">
        <v>338112000</v>
      </c>
      <c r="E15" s="12"/>
      <c r="F15" s="12"/>
      <c r="G15" s="12"/>
      <c r="H15" s="13">
        <v>269531712</v>
      </c>
      <c r="I15" s="13">
        <v>169433311</v>
      </c>
      <c r="J15" s="13"/>
      <c r="K15" s="13"/>
      <c r="L15" s="13">
        <f t="shared" ref="L15:L19" si="4">+H15-I15</f>
        <v>100098401</v>
      </c>
      <c r="M15" s="14"/>
      <c r="N15" s="13"/>
      <c r="O15" s="13"/>
      <c r="Q15" s="33"/>
      <c r="T15" s="33"/>
    </row>
    <row r="16" spans="1:20" ht="24" customHeight="1" outlineLevel="1">
      <c r="A16" s="78"/>
      <c r="B16" s="11" t="s">
        <v>21</v>
      </c>
      <c r="C16" s="12"/>
      <c r="D16" s="13">
        <v>365841600</v>
      </c>
      <c r="E16" s="12"/>
      <c r="F16" s="12"/>
      <c r="G16" s="12"/>
      <c r="H16" s="13">
        <v>291137000</v>
      </c>
      <c r="I16" s="13">
        <v>230855750</v>
      </c>
      <c r="J16" s="13"/>
      <c r="K16" s="13"/>
      <c r="L16" s="13">
        <f t="shared" si="4"/>
        <v>60281250</v>
      </c>
      <c r="M16" s="14"/>
      <c r="N16" s="13"/>
      <c r="O16" s="13"/>
      <c r="P16" s="33"/>
      <c r="T16" s="33"/>
    </row>
    <row r="17" spans="1:18" s="6" customFormat="1" ht="24" customHeight="1">
      <c r="A17" s="78"/>
      <c r="B17" s="15" t="s">
        <v>22</v>
      </c>
      <c r="C17" s="16"/>
      <c r="D17" s="17">
        <f>SUM(D18:D19)</f>
        <v>47406400</v>
      </c>
      <c r="E17" s="16"/>
      <c r="F17" s="16"/>
      <c r="G17" s="16"/>
      <c r="H17" s="17">
        <f t="shared" ref="H17:I17" si="5">SUM(H18:H19)</f>
        <v>47406400</v>
      </c>
      <c r="I17" s="17">
        <f t="shared" si="5"/>
        <v>47406400</v>
      </c>
      <c r="J17" s="17"/>
      <c r="K17" s="17"/>
      <c r="L17" s="17">
        <f t="shared" si="4"/>
        <v>0</v>
      </c>
      <c r="M17" s="15"/>
      <c r="N17" s="18"/>
      <c r="O17" s="18"/>
      <c r="R17" s="52"/>
    </row>
    <row r="18" spans="1:18" ht="24" customHeight="1" outlineLevel="1">
      <c r="A18" s="78"/>
      <c r="B18" s="11" t="s">
        <v>23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/>
      <c r="L18" s="13">
        <f t="shared" si="4"/>
        <v>0</v>
      </c>
      <c r="M18" s="14"/>
      <c r="N18" s="13"/>
      <c r="O18" s="13"/>
    </row>
    <row r="19" spans="1:18" ht="24" customHeight="1" outlineLevel="1">
      <c r="A19" s="78"/>
      <c r="B19" s="11" t="s">
        <v>24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/>
      <c r="L19" s="13">
        <f t="shared" si="4"/>
        <v>0</v>
      </c>
      <c r="M19" s="14"/>
      <c r="N19" s="13"/>
      <c r="O19" s="13"/>
    </row>
    <row r="20" spans="1:18" s="6" customFormat="1" ht="26.25">
      <c r="A20" s="79"/>
      <c r="B20" s="26" t="s">
        <v>8</v>
      </c>
      <c r="C20" s="27">
        <v>4696</v>
      </c>
      <c r="D20" s="28">
        <f>+D17+D14</f>
        <v>751360000</v>
      </c>
      <c r="E20" s="27">
        <f>3558+591+3</f>
        <v>4152</v>
      </c>
      <c r="F20" s="27">
        <f>34+142</f>
        <v>176</v>
      </c>
      <c r="G20" s="27">
        <f>+E20-F20</f>
        <v>3976</v>
      </c>
      <c r="H20" s="28">
        <f>+H14+H17</f>
        <v>608075112</v>
      </c>
      <c r="I20" s="28">
        <f t="shared" ref="I20" si="6">+I14+I17</f>
        <v>447695461</v>
      </c>
      <c r="J20" s="28">
        <v>15700</v>
      </c>
      <c r="K20" s="28">
        <f>SUM(I20-J20)</f>
        <v>447679761</v>
      </c>
      <c r="L20" s="28">
        <f>SUM(H20-K20-700)</f>
        <v>160394651</v>
      </c>
      <c r="M20" s="29">
        <f>+K20*100/H20</f>
        <v>73.622444360130302</v>
      </c>
      <c r="N20" s="28">
        <f>+D20-H20</f>
        <v>143284888</v>
      </c>
      <c r="O20" s="28">
        <f>+D20-I20+J20</f>
        <v>303680239</v>
      </c>
      <c r="P20" s="34"/>
      <c r="R20" s="52"/>
    </row>
    <row r="21" spans="1:18" ht="24" customHeight="1">
      <c r="A21" s="71">
        <v>2561</v>
      </c>
      <c r="B21" s="8" t="s">
        <v>33</v>
      </c>
      <c r="C21" s="16"/>
      <c r="D21" s="17">
        <v>199680000</v>
      </c>
      <c r="E21" s="16"/>
      <c r="F21" s="16"/>
      <c r="G21" s="16"/>
      <c r="H21" s="17">
        <f>SUM(H22:H24)</f>
        <v>22621266</v>
      </c>
      <c r="I21" s="17">
        <f>SUM(I22:I24)</f>
        <v>19282546</v>
      </c>
      <c r="J21" s="17"/>
      <c r="K21" s="17"/>
      <c r="L21" s="17">
        <f>SUM(H21-I21)</f>
        <v>3338720</v>
      </c>
      <c r="M21" s="15"/>
      <c r="N21" s="18"/>
      <c r="O21" s="18"/>
    </row>
    <row r="22" spans="1:18" ht="24" customHeight="1" outlineLevel="1">
      <c r="A22" s="72"/>
      <c r="B22" s="19" t="s">
        <v>35</v>
      </c>
      <c r="C22" s="12"/>
      <c r="D22" s="13"/>
      <c r="E22" s="12"/>
      <c r="F22" s="12"/>
      <c r="G22" s="12"/>
      <c r="H22" s="13">
        <f>22098050-H23</f>
        <v>17528250</v>
      </c>
      <c r="I22" s="13">
        <f>18759330-I23</f>
        <v>15721370</v>
      </c>
      <c r="J22" s="13"/>
      <c r="K22" s="13"/>
      <c r="L22" s="13">
        <f t="shared" ref="L22:L24" si="7">SUM(H22-I22)</f>
        <v>1806880</v>
      </c>
      <c r="M22" s="14"/>
      <c r="N22" s="13"/>
      <c r="O22" s="13"/>
      <c r="Q22" s="33"/>
    </row>
    <row r="23" spans="1:18" ht="24" customHeight="1" outlineLevel="1">
      <c r="A23" s="72"/>
      <c r="B23" s="11" t="s">
        <v>34</v>
      </c>
      <c r="C23" s="12"/>
      <c r="D23" s="13"/>
      <c r="E23" s="12"/>
      <c r="F23" s="12"/>
      <c r="G23" s="12"/>
      <c r="H23" s="13">
        <f>4069800+500000</f>
        <v>4569800</v>
      </c>
      <c r="I23" s="13">
        <v>3037960</v>
      </c>
      <c r="J23" s="13"/>
      <c r="K23" s="13"/>
      <c r="L23" s="13">
        <f t="shared" si="7"/>
        <v>1531840</v>
      </c>
      <c r="M23" s="14"/>
      <c r="N23" s="13"/>
      <c r="O23" s="13"/>
    </row>
    <row r="24" spans="1:18" ht="24" customHeight="1" outlineLevel="1">
      <c r="A24" s="72"/>
      <c r="B24" s="11" t="s">
        <v>37</v>
      </c>
      <c r="C24" s="12"/>
      <c r="D24" s="13"/>
      <c r="E24" s="12"/>
      <c r="F24" s="12"/>
      <c r="G24" s="12"/>
      <c r="H24" s="13">
        <f>163966.8+109311.2+99938+150000</f>
        <v>523216</v>
      </c>
      <c r="I24" s="13">
        <f>163966.8+109311.2+99938+150000</f>
        <v>523216</v>
      </c>
      <c r="J24" s="13"/>
      <c r="K24" s="13"/>
      <c r="L24" s="13">
        <f t="shared" si="7"/>
        <v>0</v>
      </c>
      <c r="M24" s="14"/>
      <c r="N24" s="13"/>
      <c r="O24" s="13"/>
    </row>
    <row r="25" spans="1:18" ht="26.25">
      <c r="A25" s="73"/>
      <c r="B25" s="30" t="s">
        <v>8</v>
      </c>
      <c r="C25" s="31">
        <v>2498</v>
      </c>
      <c r="D25" s="32">
        <f>D21</f>
        <v>199680000</v>
      </c>
      <c r="E25" s="31">
        <v>0</v>
      </c>
      <c r="F25" s="31">
        <v>0</v>
      </c>
      <c r="G25" s="31">
        <f>+E25-F25</f>
        <v>0</v>
      </c>
      <c r="H25" s="32">
        <f>+H21</f>
        <v>22621266</v>
      </c>
      <c r="I25" s="32">
        <f>+I21</f>
        <v>19282546</v>
      </c>
      <c r="J25" s="32">
        <f>+J21</f>
        <v>0</v>
      </c>
      <c r="K25" s="32">
        <f>SUM(I25-J25)</f>
        <v>19282546</v>
      </c>
      <c r="L25" s="32">
        <f>+H25-I25</f>
        <v>3338720</v>
      </c>
      <c r="M25" s="58">
        <f>+K25*100/H25</f>
        <v>85.240790679000895</v>
      </c>
      <c r="N25" s="32">
        <f>+D25-H25</f>
        <v>177058734</v>
      </c>
      <c r="O25" s="32">
        <f>+D25-I25+J25</f>
        <v>180397454</v>
      </c>
    </row>
    <row r="26" spans="1:18" s="6" customFormat="1" ht="26.25">
      <c r="A26" s="69" t="s">
        <v>25</v>
      </c>
      <c r="B26" s="70"/>
      <c r="C26" s="20">
        <f>+C13+C20+C25</f>
        <v>11004</v>
      </c>
      <c r="D26" s="21">
        <f t="shared" ref="D26:I26" si="8">+D25+D20+D13</f>
        <v>1255840000</v>
      </c>
      <c r="E26" s="20">
        <f t="shared" si="8"/>
        <v>8026</v>
      </c>
      <c r="F26" s="20">
        <f t="shared" si="8"/>
        <v>3234</v>
      </c>
      <c r="G26" s="20">
        <f t="shared" si="8"/>
        <v>4792</v>
      </c>
      <c r="H26" s="21">
        <f t="shared" si="8"/>
        <v>810780438.96000004</v>
      </c>
      <c r="I26" s="21">
        <f t="shared" si="8"/>
        <v>685899944.96000004</v>
      </c>
      <c r="J26" s="21">
        <f>+J25+J20+J13</f>
        <v>36279858</v>
      </c>
      <c r="K26" s="21">
        <f t="shared" ref="K26:L26" si="9">+K25+K20+K13</f>
        <v>649620086.96000004</v>
      </c>
      <c r="L26" s="21">
        <f t="shared" si="9"/>
        <v>160041452</v>
      </c>
      <c r="M26" s="57">
        <f>+K26*100/H26</f>
        <v>80.122812014714768</v>
      </c>
      <c r="N26" s="21">
        <f>+N25+N20+N13</f>
        <v>445059561.03999996</v>
      </c>
      <c r="O26" s="21">
        <f>+O25+O20+O13</f>
        <v>606219913.03999996</v>
      </c>
      <c r="P26" s="34"/>
      <c r="R26" s="52"/>
    </row>
    <row r="27" spans="1:18">
      <c r="A27" s="1" t="s">
        <v>39</v>
      </c>
      <c r="B27" s="35" t="s">
        <v>40</v>
      </c>
    </row>
    <row r="28" spans="1:18">
      <c r="B28" s="35" t="s">
        <v>50</v>
      </c>
      <c r="P28" s="33"/>
    </row>
    <row r="29" spans="1:18" ht="65.25" customHeight="1">
      <c r="B29" s="48" t="s">
        <v>73</v>
      </c>
    </row>
    <row r="30" spans="1:18">
      <c r="H30" s="61" t="s">
        <v>71</v>
      </c>
      <c r="I30" s="61"/>
      <c r="J30" s="54"/>
      <c r="K30" s="54" t="s">
        <v>78</v>
      </c>
      <c r="L30" s="54"/>
      <c r="M30" s="61" t="s">
        <v>29</v>
      </c>
      <c r="N30" s="61"/>
      <c r="O30" s="1"/>
    </row>
    <row r="31" spans="1:18">
      <c r="H31" s="62" t="s">
        <v>74</v>
      </c>
      <c r="I31" s="62"/>
      <c r="J31" s="55"/>
      <c r="K31" s="55" t="s">
        <v>79</v>
      </c>
      <c r="L31" s="55"/>
      <c r="M31" s="62" t="s">
        <v>30</v>
      </c>
      <c r="N31" s="62"/>
      <c r="O31" s="1"/>
    </row>
    <row r="32" spans="1:18">
      <c r="H32" s="61" t="s">
        <v>31</v>
      </c>
      <c r="I32" s="61"/>
      <c r="J32" s="54"/>
      <c r="K32" s="54" t="s">
        <v>32</v>
      </c>
      <c r="L32" s="54"/>
      <c r="M32" s="61" t="s">
        <v>32</v>
      </c>
      <c r="N32" s="61"/>
      <c r="O32" s="1"/>
    </row>
    <row r="33" spans="8:15">
      <c r="H33" s="60" t="s">
        <v>36</v>
      </c>
      <c r="I33" s="60"/>
      <c r="J33" s="53"/>
      <c r="K33" s="2" t="s">
        <v>36</v>
      </c>
      <c r="M33" s="60" t="s">
        <v>36</v>
      </c>
      <c r="N33" s="60"/>
      <c r="O33" s="1"/>
    </row>
  </sheetData>
  <mergeCells count="30">
    <mergeCell ref="M3:M5"/>
    <mergeCell ref="N3:N5"/>
    <mergeCell ref="D4:D5"/>
    <mergeCell ref="E4:G4"/>
    <mergeCell ref="J6:K12"/>
    <mergeCell ref="C3:D3"/>
    <mergeCell ref="H4:H5"/>
    <mergeCell ref="E3:H3"/>
    <mergeCell ref="C4:C5"/>
    <mergeCell ref="A21:A25"/>
    <mergeCell ref="A6:A13"/>
    <mergeCell ref="A14:A20"/>
    <mergeCell ref="A3:A5"/>
    <mergeCell ref="B3:B5"/>
    <mergeCell ref="A1:O1"/>
    <mergeCell ref="H33:I33"/>
    <mergeCell ref="M33:N33"/>
    <mergeCell ref="M30:N30"/>
    <mergeCell ref="H30:I30"/>
    <mergeCell ref="H31:I31"/>
    <mergeCell ref="H32:I32"/>
    <mergeCell ref="M32:N32"/>
    <mergeCell ref="M31:N31"/>
    <mergeCell ref="I3:I5"/>
    <mergeCell ref="J3:J5"/>
    <mergeCell ref="K3:K5"/>
    <mergeCell ref="L3:L5"/>
    <mergeCell ref="A2:O2"/>
    <mergeCell ref="O3:O5"/>
    <mergeCell ref="A26:B26"/>
  </mergeCells>
  <pageMargins left="0.17" right="0.17" top="0.74" bottom="0.17" header="0.17" footer="0.17"/>
  <pageSetup paperSize="9" scale="59" orientation="landscape" r:id="rId1"/>
  <ignoredErrors>
    <ignoredError sqref="N10:N13" formulaRange="1"/>
    <ignoredError sqref="M10:M12 M14:M1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5"/>
  <sheetViews>
    <sheetView tabSelected="1" workbookViewId="0">
      <selection activeCell="B8" sqref="B8"/>
    </sheetView>
  </sheetViews>
  <sheetFormatPr defaultRowHeight="15" outlineLevelCol="1"/>
  <cols>
    <col min="1" max="1" width="14.140625" customWidth="1"/>
    <col min="2" max="2" width="34.7109375" customWidth="1"/>
    <col min="3" max="3" width="8.140625" hidden="1" customWidth="1" outlineLevel="1"/>
    <col min="4" max="4" width="12.7109375" hidden="1" customWidth="1" outlineLevel="1"/>
    <col min="5" max="5" width="16.140625" hidden="1" customWidth="1" outlineLevel="1"/>
    <col min="6" max="6" width="14.5703125" hidden="1" customWidth="1" outlineLevel="1"/>
    <col min="7" max="7" width="11.5703125" hidden="1" customWidth="1" outlineLevel="1"/>
    <col min="8" max="8" width="15.7109375" hidden="1" customWidth="1" outlineLevel="1"/>
    <col min="9" max="9" width="8.42578125" hidden="1" customWidth="1" outlineLevel="1"/>
    <col min="10" max="10" width="8.28515625" hidden="1" customWidth="1" outlineLevel="1"/>
    <col min="11" max="11" width="8.85546875" hidden="1" customWidth="1" outlineLevel="1"/>
    <col min="12" max="12" width="8.42578125" hidden="1" customWidth="1" outlineLevel="1"/>
    <col min="13" max="13" width="8.28515625" hidden="1" customWidth="1" outlineLevel="1"/>
    <col min="14" max="14" width="8.140625" hidden="1" customWidth="1" outlineLevel="1"/>
    <col min="15" max="15" width="16.140625" bestFit="1" customWidth="1" collapsed="1"/>
    <col min="16" max="16" width="8.140625" hidden="1" customWidth="1" outlineLevel="1"/>
    <col min="17" max="17" width="14.5703125" hidden="1" customWidth="1" outlineLevel="1"/>
    <col min="18" max="18" width="8" hidden="1" customWidth="1" outlineLevel="1"/>
    <col min="19" max="19" width="14.5703125" hidden="1" customWidth="1" outlineLevel="1"/>
    <col min="20" max="20" width="15.7109375" hidden="1" customWidth="1" outlineLevel="1"/>
    <col min="21" max="21" width="14.5703125" hidden="1" customWidth="1" outlineLevel="1"/>
    <col min="22" max="27" width="9.140625" hidden="1" customWidth="1" outlineLevel="1"/>
    <col min="28" max="28" width="15.7109375" bestFit="1" customWidth="1" collapsed="1"/>
    <col min="29" max="29" width="8.140625" hidden="1" customWidth="1" outlineLevel="1"/>
    <col min="30" max="30" width="14.5703125" hidden="1" customWidth="1" outlineLevel="1"/>
    <col min="31" max="31" width="8" hidden="1" customWidth="1" outlineLevel="1"/>
    <col min="32" max="32" width="14.5703125" hidden="1" customWidth="1" outlineLevel="1"/>
    <col min="33" max="33" width="15.7109375" hidden="1" customWidth="1" outlineLevel="1"/>
    <col min="34" max="36" width="14.5703125" hidden="1" customWidth="1" outlineLevel="1"/>
    <col min="37" max="40" width="9.140625" hidden="1" customWidth="1" outlineLevel="1"/>
    <col min="41" max="41" width="15.7109375" bestFit="1" customWidth="1" collapsed="1"/>
    <col min="42" max="43" width="15.7109375" customWidth="1"/>
    <col min="44" max="44" width="16.85546875" bestFit="1" customWidth="1"/>
    <col min="45" max="45" width="15" bestFit="1" customWidth="1"/>
  </cols>
  <sheetData>
    <row r="1" spans="1:45" ht="27.75" customHeight="1">
      <c r="A1" s="6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AB1" s="1"/>
      <c r="AC1" s="1"/>
      <c r="AD1" s="1"/>
    </row>
    <row r="2" spans="1:45" s="44" customFormat="1" ht="24">
      <c r="A2" s="94" t="s">
        <v>49</v>
      </c>
      <c r="B2" s="36" t="s">
        <v>41</v>
      </c>
      <c r="C2" s="102" t="s">
        <v>51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4"/>
    </row>
    <row r="3" spans="1:45" s="44" customFormat="1" ht="34.5" customHeight="1">
      <c r="A3" s="95"/>
      <c r="B3" s="65" t="s">
        <v>67</v>
      </c>
      <c r="C3" s="99" t="s">
        <v>72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97" t="s">
        <v>66</v>
      </c>
      <c r="P3" s="105" t="s">
        <v>65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7"/>
      <c r="AB3" s="97" t="s">
        <v>80</v>
      </c>
      <c r="AC3" s="105" t="s">
        <v>52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8" t="s">
        <v>52</v>
      </c>
      <c r="AP3" s="97" t="s">
        <v>81</v>
      </c>
      <c r="AQ3" s="92" t="s">
        <v>82</v>
      </c>
      <c r="AR3" s="92" t="s">
        <v>42</v>
      </c>
    </row>
    <row r="4" spans="1:45" s="44" customFormat="1" ht="36" customHeight="1">
      <c r="A4" s="96"/>
      <c r="B4" s="67"/>
      <c r="C4" s="47" t="s">
        <v>53</v>
      </c>
      <c r="D4" s="47" t="s">
        <v>54</v>
      </c>
      <c r="E4" s="47" t="s">
        <v>55</v>
      </c>
      <c r="F4" s="47" t="s">
        <v>56</v>
      </c>
      <c r="G4" s="47" t="s">
        <v>57</v>
      </c>
      <c r="H4" s="47" t="s">
        <v>58</v>
      </c>
      <c r="I4" s="37" t="s">
        <v>59</v>
      </c>
      <c r="J4" s="37" t="s">
        <v>60</v>
      </c>
      <c r="K4" s="37" t="s">
        <v>61</v>
      </c>
      <c r="L4" s="37" t="s">
        <v>62</v>
      </c>
      <c r="M4" s="37" t="s">
        <v>63</v>
      </c>
      <c r="N4" s="37" t="s">
        <v>64</v>
      </c>
      <c r="O4" s="98"/>
      <c r="P4" s="47" t="s">
        <v>53</v>
      </c>
      <c r="Q4" s="47" t="s">
        <v>54</v>
      </c>
      <c r="R4" s="47" t="s">
        <v>55</v>
      </c>
      <c r="S4" s="47" t="s">
        <v>56</v>
      </c>
      <c r="T4" s="47" t="s">
        <v>57</v>
      </c>
      <c r="U4" s="47" t="s">
        <v>58</v>
      </c>
      <c r="V4" s="37" t="s">
        <v>59</v>
      </c>
      <c r="W4" s="37" t="s">
        <v>60</v>
      </c>
      <c r="X4" s="37" t="s">
        <v>61</v>
      </c>
      <c r="Y4" s="37" t="s">
        <v>62</v>
      </c>
      <c r="Z4" s="37" t="s">
        <v>63</v>
      </c>
      <c r="AA4" s="37" t="s">
        <v>64</v>
      </c>
      <c r="AB4" s="98"/>
      <c r="AC4" s="47" t="s">
        <v>53</v>
      </c>
      <c r="AD4" s="47" t="s">
        <v>54</v>
      </c>
      <c r="AE4" s="47" t="s">
        <v>55</v>
      </c>
      <c r="AF4" s="47" t="s">
        <v>56</v>
      </c>
      <c r="AG4" s="47" t="s">
        <v>57</v>
      </c>
      <c r="AH4" s="47" t="s">
        <v>58</v>
      </c>
      <c r="AI4" s="47" t="s">
        <v>59</v>
      </c>
      <c r="AJ4" s="47" t="s">
        <v>60</v>
      </c>
      <c r="AK4" s="37" t="s">
        <v>61</v>
      </c>
      <c r="AL4" s="37" t="s">
        <v>62</v>
      </c>
      <c r="AM4" s="37" t="s">
        <v>63</v>
      </c>
      <c r="AN4" s="37" t="s">
        <v>64</v>
      </c>
      <c r="AO4" s="109"/>
      <c r="AP4" s="98"/>
      <c r="AQ4" s="93"/>
      <c r="AR4" s="93"/>
    </row>
    <row r="5" spans="1:45" ht="24">
      <c r="A5" s="38" t="s">
        <v>43</v>
      </c>
      <c r="B5" s="39">
        <v>22820510</v>
      </c>
      <c r="C5" s="39">
        <v>0</v>
      </c>
      <c r="D5" s="39">
        <v>0</v>
      </c>
      <c r="E5" s="39">
        <v>473994</v>
      </c>
      <c r="F5" s="39"/>
      <c r="G5" s="39"/>
      <c r="H5" s="39"/>
      <c r="I5" s="39"/>
      <c r="J5" s="39"/>
      <c r="K5" s="39"/>
      <c r="L5" s="39"/>
      <c r="M5" s="39"/>
      <c r="N5" s="39"/>
      <c r="O5" s="13">
        <f>SUM(C5:N5)</f>
        <v>473994</v>
      </c>
      <c r="P5" s="39">
        <v>0</v>
      </c>
      <c r="Q5" s="39">
        <v>0</v>
      </c>
      <c r="R5" s="39">
        <v>0</v>
      </c>
      <c r="S5" s="39">
        <v>0</v>
      </c>
      <c r="T5" s="39">
        <v>34534500</v>
      </c>
      <c r="U5" s="39">
        <v>2250000</v>
      </c>
      <c r="V5" s="39"/>
      <c r="W5" s="39"/>
      <c r="X5" s="39"/>
      <c r="Y5" s="39"/>
      <c r="Z5" s="39"/>
      <c r="AA5" s="13"/>
      <c r="AB5" s="39">
        <f>SUM(P5:AA5)</f>
        <v>36784500</v>
      </c>
      <c r="AC5" s="39">
        <v>0</v>
      </c>
      <c r="AD5" s="39">
        <v>0</v>
      </c>
      <c r="AE5" s="39">
        <v>0</v>
      </c>
      <c r="AF5" s="39">
        <v>0</v>
      </c>
      <c r="AG5" s="39"/>
      <c r="AH5" s="39"/>
      <c r="AI5" s="39">
        <f>472750+450000+32500</f>
        <v>955250</v>
      </c>
      <c r="AJ5" s="39"/>
      <c r="AK5" s="39"/>
      <c r="AL5" s="39"/>
      <c r="AM5" s="39"/>
      <c r="AN5" s="13"/>
      <c r="AO5" s="39">
        <f>SUM(AC5:AN5)</f>
        <v>955250</v>
      </c>
      <c r="AP5" s="39">
        <f>157500+4647300+5948527</f>
        <v>10753327</v>
      </c>
      <c r="AQ5" s="39">
        <f>AO5*100/(B5+O5-AB5+AP5)</f>
        <v>-34.905573162117889</v>
      </c>
      <c r="AR5" s="39">
        <f>+B5+O5-AB5-AO5+AP5</f>
        <v>-3691919</v>
      </c>
      <c r="AS5" s="49"/>
    </row>
    <row r="6" spans="1:45" ht="24">
      <c r="A6" s="40">
        <v>2560</v>
      </c>
      <c r="B6" s="13">
        <v>194157050</v>
      </c>
      <c r="C6" s="13">
        <v>0</v>
      </c>
      <c r="D6" s="13">
        <f>121600+448500</f>
        <v>570100</v>
      </c>
      <c r="E6" s="13">
        <v>0</v>
      </c>
      <c r="F6" s="13"/>
      <c r="G6" s="13"/>
      <c r="H6" s="13"/>
      <c r="I6" s="13"/>
      <c r="J6" s="13"/>
      <c r="K6" s="13"/>
      <c r="L6" s="13"/>
      <c r="M6" s="13"/>
      <c r="N6" s="13"/>
      <c r="O6" s="13">
        <f>SUM(C6:N6)</f>
        <v>570100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>
        <f t="shared" ref="AB6:AB8" si="0">SUM(P6:AA6)</f>
        <v>0</v>
      </c>
      <c r="AC6" s="13">
        <v>0</v>
      </c>
      <c r="AD6" s="13">
        <v>1259486</v>
      </c>
      <c r="AE6" s="13">
        <v>0</v>
      </c>
      <c r="AF6" s="13">
        <v>6202183</v>
      </c>
      <c r="AG6" s="13">
        <v>26426080</v>
      </c>
      <c r="AH6" s="13"/>
      <c r="AI6" s="13">
        <f>150000+66000+9000+3750+216000</f>
        <v>444750</v>
      </c>
      <c r="AJ6" s="13"/>
      <c r="AK6" s="13"/>
      <c r="AL6" s="13"/>
      <c r="AM6" s="13"/>
      <c r="AN6" s="13"/>
      <c r="AO6" s="39">
        <f t="shared" ref="AO6:AO7" si="1">SUM(AC6:AN6)</f>
        <v>34332499</v>
      </c>
      <c r="AP6" s="39"/>
      <c r="AQ6" s="39">
        <f>AO6*100/(B6+O6-AB6+AP6)</f>
        <v>17.631079692790657</v>
      </c>
      <c r="AR6" s="39">
        <f>+B6+O6-AB6-AO6+AP6</f>
        <v>160394651</v>
      </c>
      <c r="AS6" s="49"/>
    </row>
    <row r="7" spans="1:45" ht="24">
      <c r="A7" s="40">
        <v>2561</v>
      </c>
      <c r="B7" s="13">
        <v>4442720</v>
      </c>
      <c r="C7" s="13">
        <v>0</v>
      </c>
      <c r="D7" s="13">
        <f>54000+12000+126000+18000</f>
        <v>210000</v>
      </c>
      <c r="E7" s="13">
        <v>1242000</v>
      </c>
      <c r="F7" s="13"/>
      <c r="G7" s="13">
        <v>54000</v>
      </c>
      <c r="H7" s="13">
        <v>1083000</v>
      </c>
      <c r="I7" s="13"/>
      <c r="J7" s="13"/>
      <c r="K7" s="13"/>
      <c r="L7" s="13"/>
      <c r="M7" s="13"/>
      <c r="N7" s="13"/>
      <c r="O7" s="13">
        <f>SUM(C7:N7)</f>
        <v>2589000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f t="shared" si="0"/>
        <v>0</v>
      </c>
      <c r="AC7" s="13">
        <v>0</v>
      </c>
      <c r="AD7" s="13">
        <v>1254000</v>
      </c>
      <c r="AE7" s="13">
        <v>0</v>
      </c>
      <c r="AF7" s="13">
        <v>0</v>
      </c>
      <c r="AG7" s="13">
        <v>60000</v>
      </c>
      <c r="AH7" s="13">
        <f>54000+81000+1107000</f>
        <v>1242000</v>
      </c>
      <c r="AI7" s="13"/>
      <c r="AJ7" s="13">
        <v>1137000</v>
      </c>
      <c r="AK7" s="13"/>
      <c r="AL7" s="13"/>
      <c r="AM7" s="13"/>
      <c r="AN7" s="13"/>
      <c r="AO7" s="39">
        <f t="shared" si="1"/>
        <v>3693000</v>
      </c>
      <c r="AP7" s="39"/>
      <c r="AQ7" s="39">
        <f>AO7*100/(B7+O7-AB7+AP7)</f>
        <v>52.519156052857625</v>
      </c>
      <c r="AR7" s="39">
        <f>+B7+O7-AB7-AO7+AP7</f>
        <v>3338720</v>
      </c>
      <c r="AS7" s="49"/>
    </row>
    <row r="8" spans="1:45" ht="24">
      <c r="A8" s="40" t="s">
        <v>8</v>
      </c>
      <c r="B8" s="21">
        <f>SUM(B5:B7)</f>
        <v>221420280</v>
      </c>
      <c r="C8" s="21">
        <f>SUM(C5:C7)</f>
        <v>0</v>
      </c>
      <c r="D8" s="21">
        <f t="shared" ref="D8:N8" si="2">SUM(D5:D7)</f>
        <v>780100</v>
      </c>
      <c r="E8" s="21">
        <f t="shared" si="2"/>
        <v>1715994</v>
      </c>
      <c r="F8" s="21">
        <f t="shared" si="2"/>
        <v>0</v>
      </c>
      <c r="G8" s="21">
        <f t="shared" si="2"/>
        <v>54000</v>
      </c>
      <c r="H8" s="21">
        <f t="shared" si="2"/>
        <v>1083000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46">
        <f>SUM(O5:O7)</f>
        <v>3633094</v>
      </c>
      <c r="P8" s="46">
        <f t="shared" ref="P8:AA8" si="3">SUM(P5:P7)</f>
        <v>0</v>
      </c>
      <c r="Q8" s="46">
        <f t="shared" si="3"/>
        <v>0</v>
      </c>
      <c r="R8" s="46">
        <f t="shared" si="3"/>
        <v>0</v>
      </c>
      <c r="S8" s="46">
        <f t="shared" si="3"/>
        <v>0</v>
      </c>
      <c r="T8" s="46">
        <f t="shared" si="3"/>
        <v>34534500</v>
      </c>
      <c r="U8" s="46">
        <f t="shared" si="3"/>
        <v>2250000</v>
      </c>
      <c r="V8" s="46">
        <f t="shared" si="3"/>
        <v>0</v>
      </c>
      <c r="W8" s="46">
        <f t="shared" si="3"/>
        <v>0</v>
      </c>
      <c r="X8" s="46">
        <f t="shared" si="3"/>
        <v>0</v>
      </c>
      <c r="Y8" s="46">
        <f t="shared" si="3"/>
        <v>0</v>
      </c>
      <c r="Z8" s="46">
        <f t="shared" si="3"/>
        <v>0</v>
      </c>
      <c r="AA8" s="46">
        <f t="shared" si="3"/>
        <v>0</v>
      </c>
      <c r="AB8" s="46">
        <f t="shared" si="0"/>
        <v>36784500</v>
      </c>
      <c r="AC8" s="46">
        <f t="shared" ref="AC8:AO8" si="4">SUM(AC5:AC7)</f>
        <v>0</v>
      </c>
      <c r="AD8" s="46">
        <f t="shared" si="4"/>
        <v>2513486</v>
      </c>
      <c r="AE8" s="46">
        <f t="shared" si="4"/>
        <v>0</v>
      </c>
      <c r="AF8" s="46">
        <f t="shared" si="4"/>
        <v>6202183</v>
      </c>
      <c r="AG8" s="46">
        <f t="shared" si="4"/>
        <v>26486080</v>
      </c>
      <c r="AH8" s="46">
        <f t="shared" si="4"/>
        <v>1242000</v>
      </c>
      <c r="AI8" s="46">
        <f t="shared" si="4"/>
        <v>1400000</v>
      </c>
      <c r="AJ8" s="46">
        <f t="shared" si="4"/>
        <v>1137000</v>
      </c>
      <c r="AK8" s="46">
        <f t="shared" si="4"/>
        <v>0</v>
      </c>
      <c r="AL8" s="46">
        <f t="shared" si="4"/>
        <v>0</v>
      </c>
      <c r="AM8" s="46">
        <f t="shared" si="4"/>
        <v>0</v>
      </c>
      <c r="AN8" s="46">
        <f t="shared" si="4"/>
        <v>0</v>
      </c>
      <c r="AO8" s="46">
        <f t="shared" si="4"/>
        <v>38980749</v>
      </c>
      <c r="AP8" s="46">
        <f>SUM(AP5:AP7)</f>
        <v>10753327</v>
      </c>
      <c r="AQ8" s="46">
        <f>AO8*100/(B8+O8-AB8+AP8)</f>
        <v>19.58613099651129</v>
      </c>
      <c r="AR8" s="46">
        <f>+B8+O8-AB8-AO8+AP8</f>
        <v>160041452</v>
      </c>
      <c r="AS8" s="49"/>
    </row>
    <row r="9" spans="1:45" ht="24">
      <c r="A9" s="4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AB9" s="2"/>
      <c r="AC9" s="2"/>
      <c r="AD9" s="2"/>
      <c r="AS9" s="49"/>
    </row>
    <row r="10" spans="1:45" ht="24">
      <c r="A10" s="42" t="s">
        <v>68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AB10" s="2"/>
      <c r="AC10" s="2"/>
      <c r="AD10" s="2"/>
    </row>
    <row r="11" spans="1:45" ht="24">
      <c r="A11" s="91" t="s">
        <v>86</v>
      </c>
      <c r="B11" s="91"/>
      <c r="C11" s="91"/>
      <c r="D11" s="91"/>
      <c r="H11" s="2"/>
      <c r="I11" s="2"/>
      <c r="J11" s="2"/>
      <c r="K11" s="2"/>
      <c r="L11" s="2"/>
      <c r="M11" s="2"/>
      <c r="N11" s="2"/>
      <c r="O11" s="2">
        <f>+AO8</f>
        <v>38980749</v>
      </c>
      <c r="P11" s="45" t="str">
        <f>"("&amp;BAHTTEXT(B11)&amp;")"</f>
        <v>(ศูนย์บาทถ้วน)</v>
      </c>
      <c r="Q11" s="2"/>
      <c r="AB11" s="2" t="s">
        <v>69</v>
      </c>
      <c r="AC11" s="45" t="str">
        <f>"("&amp;BAHTTEXT(O11)&amp;")"</f>
        <v>(สามสิบแปดล้านเก้าแสนแปดหมื่นเจ็ดร้อยสี่สิบเก้าบาทถ้วน)</v>
      </c>
      <c r="AD11" s="2"/>
      <c r="AO11" s="49">
        <f>+AR8-Sheet1!L26</f>
        <v>0</v>
      </c>
      <c r="AP11" s="49"/>
      <c r="AQ11" s="49"/>
    </row>
    <row r="12" spans="1:45" ht="24">
      <c r="A12" s="91" t="s">
        <v>70</v>
      </c>
      <c r="B12" s="91"/>
      <c r="C12" s="91"/>
      <c r="D12" s="91"/>
      <c r="H12" s="2"/>
      <c r="I12" s="2"/>
      <c r="J12" s="2"/>
      <c r="K12" s="2"/>
      <c r="L12" s="2"/>
      <c r="M12" s="2"/>
      <c r="N12" s="2"/>
      <c r="O12" s="2">
        <f>+AR8</f>
        <v>160041452</v>
      </c>
      <c r="P12" s="45" t="str">
        <f>"("&amp;BAHTTEXT(B12)&amp;")"</f>
        <v>(ศูนย์บาทถ้วน)</v>
      </c>
      <c r="Q12" s="2"/>
      <c r="AB12" s="2" t="s">
        <v>69</v>
      </c>
      <c r="AC12" s="45" t="str">
        <f>"("&amp;BAHTTEXT(O12)&amp;")"</f>
        <v>(หนึ่งร้อยหกสิบล้านสี่หมื่นหนึ่งพันสี่ร้อยห้าสิบสองบาทถ้วน)</v>
      </c>
      <c r="AD12" s="2"/>
    </row>
    <row r="13" spans="1:45" ht="24">
      <c r="A13" s="4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B13" s="2"/>
      <c r="AC13" s="2"/>
      <c r="AD13" s="2"/>
    </row>
    <row r="14" spans="1:45" ht="24">
      <c r="A14" s="4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AB14" s="2"/>
      <c r="AC14" s="2"/>
      <c r="AD14" s="2"/>
    </row>
    <row r="15" spans="1:45" ht="24">
      <c r="A15" s="42" t="s">
        <v>44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T15" s="49"/>
      <c r="AB15" s="43"/>
      <c r="AC15" s="43"/>
      <c r="AD15" s="43"/>
      <c r="AG15" s="49"/>
    </row>
    <row r="16" spans="1:45" ht="24">
      <c r="A16" s="42" t="s">
        <v>45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AB16" s="43"/>
      <c r="AC16" s="43"/>
      <c r="AD16" s="43"/>
    </row>
    <row r="17" spans="1:30" ht="24">
      <c r="A17" s="42" t="s">
        <v>83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AB17" s="43"/>
      <c r="AC17" s="43"/>
      <c r="AD17" s="43"/>
    </row>
    <row r="18" spans="1:30" ht="24">
      <c r="A18" s="35" t="s">
        <v>46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AB18" s="43"/>
      <c r="AC18" s="43"/>
      <c r="AD18" s="43"/>
    </row>
    <row r="19" spans="1:30" ht="24">
      <c r="A19" s="35" t="s">
        <v>47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AB19" s="43"/>
      <c r="AC19" s="43"/>
      <c r="AD19" s="43"/>
    </row>
    <row r="20" spans="1:30" ht="24">
      <c r="A20" s="42" t="s">
        <v>84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AB20" s="43"/>
      <c r="AC20" s="43"/>
      <c r="AD20" s="43"/>
    </row>
    <row r="21" spans="1:30" ht="24">
      <c r="A21" s="35" t="s">
        <v>48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AB21" s="43"/>
      <c r="AC21" s="43"/>
      <c r="AD21" s="43"/>
    </row>
    <row r="22" spans="1:30" ht="24">
      <c r="A22" s="35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AB22" s="43"/>
      <c r="AC22" s="43"/>
      <c r="AD22" s="43"/>
    </row>
    <row r="23" spans="1:30" ht="24">
      <c r="A23" s="3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AB23" s="43"/>
      <c r="AC23" s="43"/>
      <c r="AD23" s="43"/>
    </row>
    <row r="24" spans="1:30" ht="24">
      <c r="A24" s="3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AB24" s="43"/>
      <c r="AC24" s="43"/>
      <c r="AD24" s="43"/>
    </row>
    <row r="25" spans="1:30" ht="24">
      <c r="A25" s="3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AB25" s="43"/>
      <c r="AC25" s="43"/>
      <c r="AD25" s="43"/>
    </row>
  </sheetData>
  <dataConsolidate/>
  <mergeCells count="14">
    <mergeCell ref="A11:D11"/>
    <mergeCell ref="A12:D12"/>
    <mergeCell ref="AR3:AR4"/>
    <mergeCell ref="A2:A4"/>
    <mergeCell ref="B3:B4"/>
    <mergeCell ref="O3:O4"/>
    <mergeCell ref="AB3:AB4"/>
    <mergeCell ref="C3:N3"/>
    <mergeCell ref="C2:AR2"/>
    <mergeCell ref="P3:AA3"/>
    <mergeCell ref="AP3:AP4"/>
    <mergeCell ref="AC3:AN3"/>
    <mergeCell ref="AO3:AO4"/>
    <mergeCell ref="AQ3:AQ4"/>
  </mergeCells>
  <pageMargins left="0.47" right="0.2" top="1.1200000000000001" bottom="0.75" header="0.3" footer="0.3"/>
  <pageSetup paperSize="9" scale="89" orientation="landscape" r:id="rId1"/>
  <ignoredErrors>
    <ignoredError sqref="AO5:AO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ภาพรวมเบิกจ่าย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2019-05-31T03:00:27Z</cp:lastPrinted>
  <dcterms:created xsi:type="dcterms:W3CDTF">2018-05-02T12:11:23Z</dcterms:created>
  <dcterms:modified xsi:type="dcterms:W3CDTF">2019-05-31T03:00:44Z</dcterms:modified>
</cp:coreProperties>
</file>